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<sst xmlns="http://schemas.openxmlformats.org/spreadsheetml/2006/main" count="5921" uniqueCount="287">
  <si>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</si>
  <si>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</si>
  <si>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</si>
  <si>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</si>
  <si>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</si>
  <si>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</si>
  <si>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</si>
  <si>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</si>
  <si>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</si>
  <si>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</si>
  <si>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</si>
  <si>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</si>
  <si>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</si>
  <si>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</si>
  <si>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</si>
  <si>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</si>
  <si>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</si>
  <si>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</si>
  <si>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</si>
  <si>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</si>
  <si>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</si>
  <si>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</si>
  <si>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</si>
  <si>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</si>
  <si>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</si>
  <si>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</si>
  <si>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</si>
  <si>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</si>
  <si>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</si>
  <si>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</si>
  <si>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</si>
  <si>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</si>
  <si>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</si>
  <si>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</si>
  <si>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</si>
  <si>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</si>
  <si>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</si>
  <si>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</si>
  <si>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</si>
  <si>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</si>
  <si>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</si>
  <si>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</si>
  <si>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</si>
  <si>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</si>
  <si>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</si>
  <si>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</si>
  <si>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</si>
  <si>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</si>
  <si>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</si>
  <si>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</si>
  <si>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</si>
  <si>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</si>
  <si>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</si>
  <si>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</si>
  <si>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</si>
  <si>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</si>
  <si>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</si>
  <si>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</si>
  <si>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</si>
  <si>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</si>
  <si>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</si>
  <si>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</si>
  <si>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</si>
  <si>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</si>
  <si>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</si>
  <si>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</si>
  <si>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</si>
  <si>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</si>
  <si>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</si>
  <si>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</si>
  <si>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</si>
  <si>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</si>
  <si>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</si>
  <si>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</si>
  <si>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</si>
  <si>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</si>
  <si>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</si>
  <si>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</si>
  <si>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</si>
  <si>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</si>
  <si>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</si>
  <si>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</si>
  <si>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</si>
  <si>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</si>
  <si>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</si>
  <si>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</si>
  <si>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</si>
  <si>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</si>
  <si>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</si>
  <si>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</si>
  <si>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</si>
  <si>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</si>
  <si>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</si>
  <si>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</si>
  <si>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</si>
  <si>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</si>
  <si>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</si>
  <si>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</si>
  <si>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</si>
  <si>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</si>
  <si>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</si>
  <si>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</si>
  <si>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</si>
  <si>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</si>
  <si>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</si>
  <si>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</si>
  <si>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</si>
  <si>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</si>
  <si>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</si>
  <si>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</si>
  <si>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</si>
  <si>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</si>
  <si>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</si>
  <si>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</si>
  <si>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</si>
  <si>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</si>
  <si>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</si>
  <si>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</si>
  <si>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4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</si>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</sst>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yy\.mm\.dd"/>
    <numFmt numFmtId="178" formatCode="0.00_);[Red]\(0.00\)"/>
    <numFmt numFmtId="179" formatCode="_-&quot;$&quot;\ * #,##0_-;_-&quot;$&quot;\ * #,##0\-;_-&quot;$&quot;\ * &quot;-&quot;_-;_-@_-"/>
    <numFmt numFmtId="180" formatCode="#\ ??/??"/>
    <numFmt numFmtId="181" formatCode="_ &quot;￥&quot;* #,##0_ ;_ &quot;￥&quot;* \-#,##0_ ;_ &quot;￥&quot;* \-_ ;_ @_ "/>
    <numFmt numFmtId="182" formatCode="0.000"/>
    <numFmt numFmtId="183" formatCode="#,###&quot;—&quot;_);\(#,###&quot;—&quot;\)"/>
    <numFmt numFmtId="184" formatCode="#,##0.0_);\(#,##0.0\)"/>
    <numFmt numFmtId="185" formatCode="&quot;$&quot;#,##0_);[Red]\(&quot;$&quot;#,##0\)"/>
    <numFmt numFmtId="186" formatCode="#,##0.0_);[Red]\(#,##0.0\)"/>
    <numFmt numFmtId="187" formatCode="\+#,##0.0;\-0.0"/>
    <numFmt numFmtId="188" formatCode="_ &quot;￥&quot;* #,##0.00_ ;_ &quot;￥&quot;* \-#,##0.00_ ;_ &quot;￥&quot;* \-??_ ;_ @_ 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$&quot;#,##0.0\ \ \ ;\(&quot;$&quot;#,##0.0\)\ \ "/>
    <numFmt numFmtId="192" formatCode="&quot;$&quot;\ #,##0.00_-;[Red]&quot;$&quot;\ #,##0.00\-"/>
    <numFmt numFmtId="193" formatCode="#,##0.0_)_%;\(#,##0.0\)_%"/>
    <numFmt numFmtId="194" formatCode="#,##0;\(#,##0\)"/>
    <numFmt numFmtId="195" formatCode="\$#,##0.00;\(\$#,##0.00\)"/>
    <numFmt numFmtId="196" formatCode="#,##0\ \ ;\(#,##0\)\ "/>
    <numFmt numFmtId="197" formatCode="&quot;$&quot;#,##0.00_);[Red]\(&quot;$&quot;#,##0.00\)"/>
    <numFmt numFmtId="198" formatCode="#,##0.0_)\x;\(#,##0.0\)\x"/>
    <numFmt numFmtId="199" formatCode="_(&quot;$&quot;* #,##0_);_(&quot;$&quot;* \(#,##0\);_(&quot;$&quot;* &quot;-&quot;_);_(@_)"/>
    <numFmt numFmtId="200" formatCode="&quot;$&quot;_(#,##0.00_);&quot;$&quot;\(#,##0.00\)"/>
    <numFmt numFmtId="201" formatCode="00#;0##;###"/>
    <numFmt numFmtId="202" formatCode="\+#,##0;\-#,##0"/>
    <numFmt numFmtId="203" formatCode="0.00_);\(0.00\)"/>
    <numFmt numFmtId="204" formatCode="\$#,##0;\(\$#,##0\)"/>
    <numFmt numFmtId="205" formatCode="\+#,##0.00;\-#,##0.00"/>
    <numFmt numFmtId="206" formatCode="0.0000"/>
    <numFmt numFmtId="207" formatCode="_ [$€]* #,##0.00_ ;_ [$€]* \-#,##0.00_ ;_ [$€]* &quot;-&quot;??_ ;_ @_ "/>
    <numFmt numFmtId="208" formatCode="#,##0\ "/>
    <numFmt numFmtId="209" formatCode="_(&quot;$&quot;* #,##0.00_);_(&quot;$&quot;* \(#,##0.00\);_(&quot;$&quot;* &quot;-&quot;??_);_(@_)"/>
    <numFmt numFmtId="210" formatCode="0.0_)\%;\(0.0\)\%"/>
    <numFmt numFmtId="211" formatCode="_-* #,##0_-;\-* #,##0_-;_-* &quot;-&quot;_-;_-@_-"/>
    <numFmt numFmtId="212" formatCode="#,##0.0_)_x;\(#,##0.0\)_x"/>
    <numFmt numFmtId="213" formatCode="#,##0.0\ \ \ ;\(#,##0.0\)\ \ 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b/>
      <sz val="10.5"/>
      <name val="Times New Roman"/>
      <family val="1"/>
    </font>
    <font>
      <b/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宋体"/>
      <family val="0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4"/>
      <color indexed="9"/>
      <name val="Times New Roman"/>
      <family val="1"/>
    </font>
    <font>
      <sz val="11"/>
      <color indexed="60"/>
      <name val="宋体"/>
      <family val="0"/>
    </font>
    <font>
      <sz val="11"/>
      <name val="ＭＳ Ｐゴシック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0"/>
      <name val="楷体"/>
      <family val="0"/>
    </font>
    <font>
      <sz val="11"/>
      <color indexed="20"/>
      <name val="Tahoma"/>
      <family val="0"/>
    </font>
    <font>
      <b/>
      <sz val="14"/>
      <name val="楷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8"/>
      <name val="MS Sans Serif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i/>
      <sz val="16"/>
      <name val="Helv"/>
      <family val="0"/>
    </font>
    <font>
      <sz val="11"/>
      <color indexed="9"/>
      <name val="宋体"/>
      <family val="0"/>
    </font>
    <font>
      <b/>
      <sz val="9"/>
      <name val="Arial"/>
      <family val="0"/>
    </font>
    <font>
      <b/>
      <sz val="10"/>
      <color indexed="12"/>
      <name val="Arial"/>
      <family val="0"/>
    </font>
    <font>
      <sz val="10"/>
      <name val="Helvetica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Helv"/>
      <family val="0"/>
    </font>
    <font>
      <b/>
      <sz val="9"/>
      <color indexed="8"/>
      <name val="宋体"/>
      <family val="0"/>
    </font>
    <font>
      <i/>
      <sz val="10"/>
      <name val="Helv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Tahoma"/>
      <family val="0"/>
    </font>
    <font>
      <b/>
      <u val="single"/>
      <sz val="10"/>
      <name val="宋体"/>
      <family val="0"/>
    </font>
    <font>
      <sz val="10"/>
      <name val="Geneva"/>
      <family val="0"/>
    </font>
    <font>
      <sz val="12"/>
      <name val="Helv"/>
      <family val="0"/>
    </font>
    <font>
      <b/>
      <sz val="10"/>
      <name val="Arial"/>
      <family val="0"/>
    </font>
    <font>
      <sz val="12"/>
      <name val="바탕체"/>
      <family val="0"/>
    </font>
    <font>
      <i/>
      <sz val="12"/>
      <name val="Times New Roman"/>
      <family val="1"/>
    </font>
    <font>
      <sz val="8"/>
      <name val="Arial"/>
      <family val="0"/>
    </font>
    <font>
      <sz val="12"/>
      <color indexed="39"/>
      <name val="Times New Roman"/>
      <family val="1"/>
    </font>
    <font>
      <b/>
      <sz val="20"/>
      <color indexed="8"/>
      <name val="宋体"/>
      <family val="0"/>
    </font>
    <font>
      <sz val="8"/>
      <name val="Helv"/>
      <family val="0"/>
    </font>
    <font>
      <sz val="9"/>
      <color indexed="12"/>
      <name val="Tms Rmn"/>
      <family val="0"/>
    </font>
    <font>
      <sz val="9"/>
      <name val="Tms Rmn"/>
      <family val="0"/>
    </font>
    <font>
      <u val="single"/>
      <sz val="12"/>
      <color indexed="12"/>
      <name val="宋体"/>
      <family val="0"/>
    </font>
    <font>
      <sz val="10"/>
      <color indexed="23"/>
      <name val="Arial"/>
      <family val="0"/>
    </font>
    <font>
      <b/>
      <sz val="10"/>
      <name val="Tms Rmn"/>
      <family val="0"/>
    </font>
    <font>
      <b/>
      <sz val="11"/>
      <color indexed="8"/>
      <name val="宋体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8"/>
      <name val="楷体"/>
      <family val="0"/>
    </font>
    <font>
      <u val="single"/>
      <sz val="12"/>
      <color indexed="36"/>
      <name val="宋体"/>
      <family val="0"/>
    </font>
    <font>
      <sz val="12"/>
      <color indexed="9"/>
      <name val="Helv"/>
      <family val="0"/>
    </font>
    <font>
      <b/>
      <sz val="10"/>
      <name val="MS Sans Serif"/>
      <family val="0"/>
    </font>
    <font>
      <sz val="11"/>
      <name val="蹈框"/>
      <family val="0"/>
    </font>
    <font>
      <i/>
      <sz val="10"/>
      <color indexed="12"/>
      <name val="Arial"/>
      <family val="0"/>
    </font>
    <font>
      <sz val="7"/>
      <name val="Small Fonts"/>
      <family val="0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74" fillId="0" borderId="0">
      <alignment/>
      <protection/>
    </xf>
    <xf numFmtId="0" fontId="78" fillId="0" borderId="0">
      <alignment/>
      <protection/>
    </xf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36" fillId="0" borderId="0">
      <alignment/>
      <protection/>
    </xf>
    <xf numFmtId="183" fontId="74" fillId="0" borderId="0">
      <alignment/>
      <protection/>
    </xf>
    <xf numFmtId="0" fontId="49" fillId="0" borderId="0">
      <alignment/>
      <protection/>
    </xf>
    <xf numFmtId="0" fontId="58" fillId="4" borderId="0" applyNumberFormat="0" applyBorder="0" applyAlignment="0" applyProtection="0"/>
    <xf numFmtId="196" fontId="74" fillId="0" borderId="0">
      <alignment/>
      <protection/>
    </xf>
    <xf numFmtId="39" fontId="49" fillId="0" borderId="0" applyFont="0" applyFill="0" applyBorder="0" applyAlignment="0" applyProtection="0"/>
    <xf numFmtId="0" fontId="49" fillId="0" borderId="0">
      <alignment/>
      <protection/>
    </xf>
    <xf numFmtId="195" fontId="10" fillId="0" borderId="0">
      <alignment/>
      <protection/>
    </xf>
    <xf numFmtId="0" fontId="82" fillId="0" borderId="0" applyNumberFormat="0" applyFill="0" applyBorder="0" applyAlignment="0" applyProtection="0"/>
    <xf numFmtId="190" fontId="49" fillId="0" borderId="0" applyFont="0" applyFill="0" applyBorder="0" applyAlignment="0" applyProtection="0"/>
    <xf numFmtId="183" fontId="74" fillId="0" borderId="0">
      <alignment/>
      <protection/>
    </xf>
    <xf numFmtId="189" fontId="49" fillId="0" borderId="0" applyFont="0" applyFill="0" applyBorder="0" applyAlignment="0" applyProtection="0"/>
    <xf numFmtId="194" fontId="10" fillId="0" borderId="0">
      <alignment/>
      <protection/>
    </xf>
    <xf numFmtId="0" fontId="0" fillId="0" borderId="0">
      <alignment/>
      <protection/>
    </xf>
    <xf numFmtId="49" fontId="49" fillId="0" borderId="0" applyFont="0" applyFill="0" applyBorder="0" applyAlignment="0" applyProtection="0"/>
    <xf numFmtId="0" fontId="58" fillId="5" borderId="0" applyNumberFormat="0" applyBorder="0" applyAlignment="0" applyProtection="0"/>
    <xf numFmtId="0" fontId="66" fillId="6" borderId="0">
      <alignment horizontal="left" vertical="center"/>
      <protection/>
    </xf>
    <xf numFmtId="0" fontId="85" fillId="3" borderId="0" applyNumberFormat="0" applyBorder="0" applyAlignment="0" applyProtection="0"/>
    <xf numFmtId="183" fontId="74" fillId="0" borderId="0">
      <alignment/>
      <protection/>
    </xf>
    <xf numFmtId="193" fontId="49" fillId="0" borderId="0" applyFont="0" applyFill="0" applyBorder="0" applyAlignment="0" applyProtection="0"/>
    <xf numFmtId="0" fontId="66" fillId="6" borderId="0">
      <alignment horizontal="right" vertical="center"/>
      <protection/>
    </xf>
    <xf numFmtId="0" fontId="74" fillId="0" borderId="0">
      <alignment/>
      <protection/>
    </xf>
    <xf numFmtId="0" fontId="58" fillId="7" borderId="0" applyNumberFormat="0" applyBorder="0" applyAlignment="0" applyProtection="0"/>
    <xf numFmtId="0" fontId="36" fillId="0" borderId="0">
      <alignment/>
      <protection/>
    </xf>
    <xf numFmtId="0" fontId="58" fillId="3" borderId="0" applyNumberFormat="0" applyBorder="0" applyAlignment="0" applyProtection="0"/>
    <xf numFmtId="0" fontId="85" fillId="8" borderId="0" applyNumberFormat="0" applyBorder="0" applyAlignment="0" applyProtection="0"/>
    <xf numFmtId="203" fontId="74" fillId="0" borderId="0">
      <alignment/>
      <protection/>
    </xf>
    <xf numFmtId="0" fontId="103" fillId="0" borderId="1" applyNumberFormat="0" applyFill="0" applyAlignment="0" applyProtection="0"/>
    <xf numFmtId="0" fontId="69" fillId="9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58" fillId="10" borderId="0" applyNumberFormat="0" applyBorder="0" applyAlignment="0" applyProtection="0"/>
    <xf numFmtId="0" fontId="78" fillId="0" borderId="0">
      <alignment/>
      <protection/>
    </xf>
    <xf numFmtId="0" fontId="51" fillId="11" borderId="0" applyNumberFormat="0" applyBorder="0" applyAlignment="0" applyProtection="0"/>
    <xf numFmtId="212" fontId="49" fillId="0" borderId="0" applyFont="0" applyFill="0" applyBorder="0" applyAlignment="0" applyProtection="0"/>
    <xf numFmtId="0" fontId="0" fillId="0" borderId="0">
      <alignment/>
      <protection/>
    </xf>
    <xf numFmtId="0" fontId="51" fillId="11" borderId="0" applyNumberFormat="0" applyBorder="0" applyAlignment="0" applyProtection="0"/>
    <xf numFmtId="0" fontId="59" fillId="12" borderId="0" applyNumberFormat="0" applyBorder="0" applyAlignment="0" applyProtection="0"/>
    <xf numFmtId="200" fontId="49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0" fontId="69" fillId="13" borderId="0" applyNumberFormat="0" applyBorder="0" applyAlignment="0" applyProtection="0"/>
    <xf numFmtId="0" fontId="96" fillId="6" borderId="0">
      <alignment horizontal="center" vertical="center"/>
      <protection/>
    </xf>
    <xf numFmtId="0" fontId="58" fillId="4" borderId="0" applyNumberFormat="0" applyBorder="0" applyAlignment="0" applyProtection="0"/>
    <xf numFmtId="37" fontId="74" fillId="0" borderId="0">
      <alignment/>
      <protection/>
    </xf>
    <xf numFmtId="0" fontId="51" fillId="11" borderId="0" applyNumberFormat="0" applyBorder="0" applyAlignment="0" applyProtection="0"/>
    <xf numFmtId="197" fontId="83" fillId="0" borderId="0" applyFont="0" applyFill="0" applyBorder="0" applyAlignment="0" applyProtection="0"/>
    <xf numFmtId="0" fontId="102" fillId="14" borderId="2">
      <alignment/>
      <protection locked="0"/>
    </xf>
    <xf numFmtId="0" fontId="104" fillId="0" borderId="3">
      <alignment horizontal="left" vertical="center"/>
      <protection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1" fillId="11" borderId="0" applyNumberFormat="0" applyBorder="0" applyAlignment="0" applyProtection="0"/>
    <xf numFmtId="0" fontId="85" fillId="15" borderId="0" applyNumberFormat="0" applyBorder="0" applyAlignment="0" applyProtection="0"/>
    <xf numFmtId="185" fontId="83" fillId="0" borderId="0" applyFont="0" applyFill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95" fillId="0" borderId="0">
      <alignment/>
      <protection/>
    </xf>
    <xf numFmtId="0" fontId="96" fillId="6" borderId="0">
      <alignment horizontal="center" vertical="center"/>
      <protection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3" fillId="17" borderId="0" applyNumberFormat="0" applyFont="0" applyBorder="0" applyAlignment="0" applyProtection="0"/>
    <xf numFmtId="0" fontId="85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85" fillId="18" borderId="0" applyNumberFormat="0" applyBorder="0" applyAlignment="0" applyProtection="0"/>
    <xf numFmtId="0" fontId="0" fillId="0" borderId="0">
      <alignment/>
      <protection/>
    </xf>
    <xf numFmtId="0" fontId="85" fillId="18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58" fillId="3" borderId="0" applyNumberFormat="0" applyBorder="0" applyAlignment="0" applyProtection="0"/>
    <xf numFmtId="0" fontId="58" fillId="19" borderId="0" applyNumberFormat="0" applyBorder="0" applyAlignment="0" applyProtection="0"/>
    <xf numFmtId="0" fontId="79" fillId="21" borderId="0">
      <alignment horizontal="center" vertical="center"/>
      <protection/>
    </xf>
    <xf numFmtId="0" fontId="58" fillId="19" borderId="0" applyNumberFormat="0" applyBorder="0" applyAlignment="0" applyProtection="0"/>
    <xf numFmtId="0" fontId="79" fillId="21" borderId="0">
      <alignment horizontal="center" vertical="center"/>
      <protection/>
    </xf>
    <xf numFmtId="49" fontId="106" fillId="0" borderId="0">
      <alignment horizontal="center" vertical="center"/>
      <protection locked="0"/>
    </xf>
    <xf numFmtId="191" fontId="97" fillId="0" borderId="0">
      <alignment/>
      <protection/>
    </xf>
    <xf numFmtId="0" fontId="51" fillId="11" borderId="0" applyNumberFormat="0" applyBorder="0" applyAlignment="0" applyProtection="0"/>
    <xf numFmtId="3" fontId="91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16" borderId="0" applyNumberFormat="0" applyBorder="0" applyAlignment="0" applyProtection="0"/>
    <xf numFmtId="0" fontId="66" fillId="21" borderId="0">
      <alignment horizontal="left" vertical="center"/>
      <protection/>
    </xf>
    <xf numFmtId="0" fontId="85" fillId="15" borderId="0" applyNumberFormat="0" applyBorder="0" applyAlignment="0" applyProtection="0"/>
    <xf numFmtId="0" fontId="85" fillId="3" borderId="0" applyNumberFormat="0" applyBorder="0" applyAlignment="0" applyProtection="0"/>
    <xf numFmtId="38" fontId="83" fillId="0" borderId="0" applyFont="0" applyFill="0" applyBorder="0" applyAlignment="0" applyProtection="0"/>
    <xf numFmtId="0" fontId="101" fillId="0" borderId="0">
      <alignment horizontal="center" vertical="center"/>
      <protection locked="0"/>
    </xf>
    <xf numFmtId="0" fontId="89" fillId="0" borderId="0">
      <alignment/>
      <protection/>
    </xf>
    <xf numFmtId="0" fontId="58" fillId="4" borderId="0" applyNumberFormat="0" applyBorder="0" applyAlignment="0" applyProtection="0"/>
    <xf numFmtId="0" fontId="93" fillId="0" borderId="0" applyFill="0" applyBorder="0">
      <alignment horizontal="right"/>
      <protection/>
    </xf>
    <xf numFmtId="0" fontId="57" fillId="2" borderId="0" applyNumberFormat="0" applyBorder="0" applyAlignment="0" applyProtection="0"/>
    <xf numFmtId="0" fontId="102" fillId="14" borderId="2">
      <alignment/>
      <protection locked="0"/>
    </xf>
    <xf numFmtId="0" fontId="85" fillId="18" borderId="0" applyNumberFormat="0" applyBorder="0" applyAlignment="0" applyProtection="0"/>
    <xf numFmtId="204" fontId="10" fillId="0" borderId="0">
      <alignment/>
      <protection/>
    </xf>
    <xf numFmtId="205" fontId="49" fillId="0" borderId="0">
      <alignment/>
      <protection/>
    </xf>
    <xf numFmtId="40" fontId="83" fillId="0" borderId="0" applyFont="0" applyFill="0" applyBorder="0" applyAlignment="0" applyProtection="0"/>
    <xf numFmtId="0" fontId="89" fillId="0" borderId="0">
      <alignment/>
      <protection/>
    </xf>
    <xf numFmtId="0" fontId="85" fillId="15" borderId="0" applyNumberFormat="0" applyBorder="0" applyAlignment="0" applyProtection="0"/>
    <xf numFmtId="0" fontId="79" fillId="21" borderId="0">
      <alignment horizontal="center" vertical="center"/>
      <protection/>
    </xf>
    <xf numFmtId="0" fontId="0" fillId="0" borderId="0">
      <alignment/>
      <protection/>
    </xf>
    <xf numFmtId="0" fontId="59" fillId="12" borderId="0" applyNumberFormat="0" applyBorder="0" applyAlignment="0" applyProtection="0"/>
    <xf numFmtId="0" fontId="58" fillId="7" borderId="0" applyNumberFormat="0" applyBorder="0" applyAlignment="0" applyProtection="0"/>
    <xf numFmtId="179" fontId="49" fillId="0" borderId="0" applyFont="0" applyFill="0" applyBorder="0" applyAlignment="0" applyProtection="0"/>
    <xf numFmtId="0" fontId="74" fillId="0" borderId="0">
      <alignment/>
      <protection/>
    </xf>
    <xf numFmtId="200" fontId="49" fillId="0" borderId="0" applyFont="0" applyFill="0" applyBorder="0" applyAlignment="0" applyProtection="0"/>
    <xf numFmtId="0" fontId="58" fillId="4" borderId="0" applyNumberFormat="0" applyBorder="0" applyAlignment="0" applyProtection="0"/>
    <xf numFmtId="0" fontId="85" fillId="15" borderId="0" applyNumberFormat="0" applyBorder="0" applyAlignment="0" applyProtection="0"/>
    <xf numFmtId="0" fontId="99" fillId="0" borderId="0">
      <alignment/>
      <protection/>
    </xf>
    <xf numFmtId="0" fontId="49" fillId="0" borderId="0" applyFont="0" applyFill="0" applyBorder="0" applyAlignment="0" applyProtection="0"/>
    <xf numFmtId="0" fontId="0" fillId="0" borderId="0">
      <alignment/>
      <protection/>
    </xf>
    <xf numFmtId="202" fontId="74" fillId="0" borderId="0">
      <alignment/>
      <protection/>
    </xf>
    <xf numFmtId="184" fontId="108" fillId="22" borderId="0">
      <alignment/>
      <protection/>
    </xf>
    <xf numFmtId="15" fontId="83" fillId="0" borderId="0">
      <alignment/>
      <protection/>
    </xf>
    <xf numFmtId="0" fontId="104" fillId="0" borderId="4" applyNumberFormat="0" applyAlignment="0" applyProtection="0"/>
    <xf numFmtId="0" fontId="49" fillId="0" borderId="5" applyNumberFormat="0" applyFill="0" applyProtection="0">
      <alignment horizontal="right"/>
    </xf>
    <xf numFmtId="0" fontId="58" fillId="8" borderId="0" applyNumberFormat="0" applyBorder="0" applyAlignment="0" applyProtection="0"/>
    <xf numFmtId="0" fontId="78" fillId="0" borderId="0">
      <alignment/>
      <protection/>
    </xf>
    <xf numFmtId="0" fontId="36" fillId="0" borderId="0" applyFont="0" applyFill="0">
      <alignment horizontal="fill"/>
      <protection/>
    </xf>
    <xf numFmtId="0" fontId="57" fillId="2" borderId="0" applyNumberFormat="0" applyBorder="0" applyAlignment="0" applyProtection="0"/>
    <xf numFmtId="0" fontId="83" fillId="0" borderId="0" applyNumberFormat="0" applyFont="0" applyFill="0" applyBorder="0" applyAlignment="0" applyProtection="0"/>
    <xf numFmtId="0" fontId="85" fillId="3" borderId="0" applyNumberFormat="0" applyBorder="0" applyAlignment="0" applyProtection="0"/>
    <xf numFmtId="0" fontId="51" fillId="11" borderId="0" applyNumberFormat="0" applyBorder="0" applyAlignment="0" applyProtection="0"/>
    <xf numFmtId="0" fontId="79" fillId="21" borderId="0">
      <alignment horizontal="center" vertical="center"/>
      <protection/>
    </xf>
    <xf numFmtId="0" fontId="85" fillId="15" borderId="0" applyNumberFormat="0" applyBorder="0" applyAlignment="0" applyProtection="0"/>
    <xf numFmtId="0" fontId="58" fillId="8" borderId="0" applyNumberFormat="0" applyBorder="0" applyAlignment="0" applyProtection="0"/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85" fillId="15" borderId="0" applyNumberFormat="0" applyBorder="0" applyAlignment="0" applyProtection="0"/>
    <xf numFmtId="0" fontId="58" fillId="7" borderId="0" applyNumberFormat="0" applyBorder="0" applyAlignment="0" applyProtection="0"/>
    <xf numFmtId="0" fontId="85" fillId="23" borderId="0" applyNumberFormat="0" applyBorder="0" applyAlignment="0" applyProtection="0"/>
    <xf numFmtId="1" fontId="49" fillId="0" borderId="6" applyFill="0" applyProtection="0">
      <alignment horizontal="center"/>
    </xf>
    <xf numFmtId="0" fontId="58" fillId="7" borderId="0" applyNumberFormat="0" applyBorder="0" applyAlignment="0" applyProtection="0"/>
    <xf numFmtId="0" fontId="32" fillId="0" borderId="0">
      <alignment horizontal="center" wrapText="1"/>
      <protection locked="0"/>
    </xf>
    <xf numFmtId="207" fontId="36" fillId="0" borderId="0" applyFont="0" applyFill="0" applyBorder="0" applyAlignment="0" applyProtection="0"/>
    <xf numFmtId="183" fontId="74" fillId="0" borderId="0">
      <alignment/>
      <protection/>
    </xf>
    <xf numFmtId="0" fontId="58" fillId="3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10" fontId="94" fillId="24" borderId="7" applyNumberFormat="0" applyBorder="0" applyAlignment="0" applyProtection="0"/>
    <xf numFmtId="0" fontId="58" fillId="7" borderId="0" applyNumberFormat="0" applyBorder="0" applyAlignment="0" applyProtection="0"/>
    <xf numFmtId="0" fontId="66" fillId="6" borderId="0">
      <alignment horizontal="right" vertical="center"/>
      <protection/>
    </xf>
    <xf numFmtId="0" fontId="49" fillId="0" borderId="0">
      <alignment/>
      <protection/>
    </xf>
    <xf numFmtId="0" fontId="85" fillId="23" borderId="0" applyNumberFormat="0" applyBorder="0" applyAlignment="0" applyProtection="0"/>
    <xf numFmtId="183" fontId="74" fillId="0" borderId="0">
      <alignment/>
      <protection/>
    </xf>
    <xf numFmtId="0" fontId="58" fillId="19" borderId="0" applyNumberFormat="0" applyBorder="0" applyAlignment="0" applyProtection="0"/>
    <xf numFmtId="211" fontId="49" fillId="0" borderId="0" applyFont="0" applyFill="0" applyBorder="0" applyAlignment="0" applyProtection="0"/>
    <xf numFmtId="38" fontId="94" fillId="25" borderId="0" applyNumberFormat="0" applyBorder="0" applyAlignment="0" applyProtection="0"/>
    <xf numFmtId="183" fontId="74" fillId="0" borderId="0">
      <alignment/>
      <protection/>
    </xf>
    <xf numFmtId="184" fontId="90" fillId="26" borderId="0">
      <alignment/>
      <protection/>
    </xf>
    <xf numFmtId="0" fontId="78" fillId="0" borderId="0">
      <alignment/>
      <protection/>
    </xf>
    <xf numFmtId="208" fontId="74" fillId="0" borderId="0" applyBorder="0">
      <alignment/>
      <protection/>
    </xf>
    <xf numFmtId="0" fontId="78" fillId="0" borderId="0">
      <alignment/>
      <protection/>
    </xf>
    <xf numFmtId="187" fontId="74" fillId="0" borderId="0">
      <alignment/>
      <protection/>
    </xf>
    <xf numFmtId="49" fontId="105" fillId="0" borderId="0">
      <alignment horizontal="center" vertical="center"/>
      <protection locked="0"/>
    </xf>
    <xf numFmtId="0" fontId="71" fillId="27" borderId="0" applyNumberFormat="0" applyBorder="0" applyAlignment="0" applyProtection="0"/>
    <xf numFmtId="198" fontId="49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0" fontId="109" fillId="0" borderId="8">
      <alignment horizontal="center"/>
      <protection/>
    </xf>
    <xf numFmtId="0" fontId="107" fillId="0" borderId="0" applyNumberFormat="0" applyFill="0" applyBorder="0" applyAlignment="0" applyProtection="0"/>
    <xf numFmtId="0" fontId="78" fillId="0" borderId="0">
      <alignment/>
      <protection/>
    </xf>
    <xf numFmtId="209" fontId="49" fillId="0" borderId="0" applyFont="0" applyFill="0" applyBorder="0" applyAlignment="0" applyProtection="0"/>
    <xf numFmtId="183" fontId="74" fillId="0" borderId="0">
      <alignment/>
      <protection/>
    </xf>
    <xf numFmtId="0" fontId="85" fillId="8" borderId="0" applyNumberFormat="0" applyBorder="0" applyAlignment="0" applyProtection="0"/>
    <xf numFmtId="0" fontId="57" fillId="2" borderId="0" applyNumberFormat="0" applyBorder="0" applyAlignment="0" applyProtection="0"/>
    <xf numFmtId="0" fontId="49" fillId="0" borderId="0">
      <alignment/>
      <protection/>
    </xf>
    <xf numFmtId="200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20" fillId="0" borderId="0">
      <alignment/>
      <protection locked="0"/>
    </xf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67" fillId="28" borderId="0" applyNumberFormat="0" applyBorder="0" applyAlignment="0" applyProtection="0"/>
    <xf numFmtId="210" fontId="49" fillId="0" borderId="0" applyFont="0" applyFill="0" applyBorder="0" applyAlignment="0" applyProtection="0"/>
    <xf numFmtId="0" fontId="85" fillId="3" borderId="0" applyNumberFormat="0" applyBorder="0" applyAlignment="0" applyProtection="0"/>
    <xf numFmtId="1" fontId="111" fillId="0" borderId="0">
      <alignment horizontal="center" vertical="center"/>
      <protection locked="0"/>
    </xf>
    <xf numFmtId="186" fontId="74" fillId="0" borderId="0">
      <alignment/>
      <protection/>
    </xf>
    <xf numFmtId="0" fontId="85" fillId="15" borderId="0" applyNumberFormat="0" applyBorder="0" applyAlignment="0" applyProtection="0"/>
    <xf numFmtId="0" fontId="67" fillId="29" borderId="0" applyNumberFormat="0" applyBorder="0" applyAlignment="0" applyProtection="0"/>
    <xf numFmtId="0" fontId="81" fillId="0" borderId="9" applyNumberFormat="0" applyFill="0" applyAlignment="0" applyProtection="0"/>
    <xf numFmtId="0" fontId="57" fillId="2" borderId="0" applyNumberFormat="0" applyBorder="0" applyAlignment="0" applyProtection="0"/>
    <xf numFmtId="0" fontId="51" fillId="11" borderId="0" applyNumberFormat="0" applyBorder="0" applyAlignment="0" applyProtection="0"/>
    <xf numFmtId="37" fontId="112" fillId="0" borderId="0">
      <alignment/>
      <protection/>
    </xf>
    <xf numFmtId="192" fontId="49" fillId="0" borderId="0" applyFont="0" applyFill="0" applyBorder="0" applyAlignment="0" applyProtection="0"/>
    <xf numFmtId="203" fontId="74" fillId="0" borderId="0">
      <alignment/>
      <protection/>
    </xf>
    <xf numFmtId="179" fontId="49" fillId="0" borderId="0" applyFont="0" applyFill="0" applyBorder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40" fontId="55" fillId="0" borderId="0" applyFont="0" applyFill="0" applyBorder="0" applyAlignment="0" applyProtection="0"/>
    <xf numFmtId="0" fontId="88" fillId="0" borderId="0">
      <alignment/>
      <protection locked="0"/>
    </xf>
    <xf numFmtId="0" fontId="83" fillId="30" borderId="0" applyNumberFormat="0" applyFon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71" fillId="31" borderId="0" applyNumberFormat="0" applyBorder="0" applyAlignment="0" applyProtection="0"/>
    <xf numFmtId="213" fontId="97" fillId="0" borderId="0">
      <alignment/>
      <protection/>
    </xf>
    <xf numFmtId="0" fontId="0" fillId="0" borderId="0">
      <alignment/>
      <protection/>
    </xf>
    <xf numFmtId="10" fontId="49" fillId="0" borderId="0" applyFont="0" applyFill="0" applyBorder="0" applyAlignment="0" applyProtection="0"/>
    <xf numFmtId="0" fontId="50" fillId="25" borderId="10" applyNumberFormat="0" applyAlignment="0" applyProtection="0"/>
    <xf numFmtId="0" fontId="75" fillId="0" borderId="11" applyNumberFormat="0" applyFill="0" applyAlignment="0" applyProtection="0"/>
    <xf numFmtId="0" fontId="52" fillId="32" borderId="12" applyNumberFormat="0" applyAlignment="0" applyProtection="0"/>
    <xf numFmtId="200" fontId="49" fillId="0" borderId="0" applyFont="0" applyFill="0" applyBorder="0" applyAlignment="0" applyProtection="0"/>
    <xf numFmtId="0" fontId="57" fillId="2" borderId="0" applyNumberFormat="0" applyBorder="0" applyAlignment="0" applyProtection="0"/>
    <xf numFmtId="0" fontId="74" fillId="0" borderId="0">
      <alignment/>
      <protection/>
    </xf>
    <xf numFmtId="0" fontId="71" fillId="3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86" fillId="0" borderId="13" applyNumberFormat="0" applyFill="0" applyAlignment="0" applyProtection="0"/>
    <xf numFmtId="0" fontId="55" fillId="0" borderId="0" applyFont="0" applyFill="0" applyBorder="0" applyAlignment="0" applyProtection="0"/>
    <xf numFmtId="0" fontId="67" fillId="34" borderId="0" applyNumberFormat="0" applyBorder="0" applyAlignment="0" applyProtection="0"/>
    <xf numFmtId="0" fontId="58" fillId="19" borderId="0" applyNumberFormat="0" applyBorder="0" applyAlignment="0" applyProtection="0"/>
    <xf numFmtId="0" fontId="79" fillId="21" borderId="0">
      <alignment horizontal="center" vertical="center"/>
      <protection/>
    </xf>
    <xf numFmtId="0" fontId="5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>
      <alignment/>
      <protection locked="0"/>
    </xf>
    <xf numFmtId="0" fontId="67" fillId="3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7" fillId="36" borderId="0" applyNumberFormat="0" applyBorder="0" applyAlignment="0" applyProtection="0"/>
    <xf numFmtId="0" fontId="10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5" borderId="0" applyNumberFormat="0" applyBorder="0" applyAlignment="0" applyProtection="0"/>
    <xf numFmtId="0" fontId="71" fillId="33" borderId="0" applyNumberFormat="0" applyBorder="0" applyAlignment="0" applyProtection="0"/>
    <xf numFmtId="0" fontId="74" fillId="0" borderId="0">
      <alignment/>
      <protection/>
    </xf>
    <xf numFmtId="0" fontId="66" fillId="21" borderId="0">
      <alignment horizontal="right" vertical="center"/>
      <protection/>
    </xf>
    <xf numFmtId="0" fontId="49" fillId="0" borderId="5" applyNumberFormat="0" applyFill="0" applyProtection="0">
      <alignment horizontal="left"/>
    </xf>
    <xf numFmtId="0" fontId="77" fillId="0" borderId="14" applyNumberFormat="0" applyFill="0" applyAlignment="0" applyProtection="0"/>
    <xf numFmtId="0" fontId="74" fillId="0" borderId="0">
      <alignment/>
      <protection/>
    </xf>
    <xf numFmtId="0" fontId="84" fillId="0" borderId="0" applyNumberFormat="0" applyFill="0" applyBorder="0" applyAlignment="0" applyProtection="0"/>
    <xf numFmtId="0" fontId="68" fillId="28" borderId="15" applyNumberFormat="0" applyAlignment="0" applyProtection="0"/>
    <xf numFmtId="0" fontId="103" fillId="0" borderId="1" applyNumberFormat="0" applyFill="0" applyAlignment="0" applyProtection="0"/>
    <xf numFmtId="0" fontId="85" fillId="18" borderId="0" applyNumberFormat="0" applyBorder="0" applyAlignment="0" applyProtection="0"/>
    <xf numFmtId="0" fontId="67" fillId="17" borderId="0" applyNumberFormat="0" applyBorder="0" applyAlignment="0" applyProtection="0"/>
    <xf numFmtId="0" fontId="0" fillId="0" borderId="0">
      <alignment/>
      <protection/>
    </xf>
    <xf numFmtId="186" fontId="9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67" fillId="35" borderId="0" applyNumberFormat="0" applyBorder="0" applyAlignment="0" applyProtection="0"/>
    <xf numFmtId="0" fontId="57" fillId="2" borderId="0" applyNumberFormat="0" applyBorder="0" applyAlignment="0" applyProtection="0"/>
    <xf numFmtId="0" fontId="84" fillId="0" borderId="0" applyNumberFormat="0" applyFill="0" applyBorder="0" applyAlignment="0" applyProtection="0"/>
    <xf numFmtId="15" fontId="83" fillId="0" borderId="0" applyFont="0" applyFill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2" fillId="32" borderId="12" applyNumberFormat="0" applyAlignment="0" applyProtection="0"/>
    <xf numFmtId="3" fontId="83" fillId="0" borderId="0" applyFont="0" applyFill="0" applyBorder="0" applyAlignment="0" applyProtection="0"/>
    <xf numFmtId="0" fontId="85" fillId="15" borderId="0" applyNumberFormat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3" fontId="7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88" fillId="0" borderId="0">
      <alignment/>
      <protection locked="0"/>
    </xf>
    <xf numFmtId="0" fontId="67" fillId="37" borderId="0" applyNumberFormat="0" applyBorder="0" applyAlignment="0" applyProtection="0"/>
    <xf numFmtId="0" fontId="86" fillId="0" borderId="13" applyNumberFormat="0" applyFill="0" applyAlignment="0" applyProtection="0"/>
    <xf numFmtId="0" fontId="57" fillId="2" borderId="0" applyNumberFormat="0" applyBorder="0" applyAlignment="0" applyProtection="0"/>
    <xf numFmtId="0" fontId="81" fillId="0" borderId="9" applyNumberFormat="0" applyFill="0" applyAlignment="0" applyProtection="0"/>
    <xf numFmtId="0" fontId="69" fillId="38" borderId="0" applyNumberFormat="0" applyBorder="0" applyAlignment="0" applyProtection="0"/>
    <xf numFmtId="0" fontId="77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80" fillId="0" borderId="2">
      <alignment/>
      <protection/>
    </xf>
    <xf numFmtId="181" fontId="0" fillId="0" borderId="0" applyFont="0" applyFill="0" applyBorder="0" applyAlignment="0" applyProtection="0"/>
    <xf numFmtId="0" fontId="66" fillId="21" borderId="0">
      <alignment horizontal="center" vertical="center"/>
      <protection/>
    </xf>
    <xf numFmtId="0" fontId="0" fillId="24" borderId="16" applyNumberFormat="0" applyFont="0" applyAlignment="0" applyProtection="0"/>
    <xf numFmtId="0" fontId="71" fillId="39" borderId="0" applyNumberFormat="0" applyBorder="0" applyAlignment="0" applyProtection="0"/>
    <xf numFmtId="0" fontId="79" fillId="21" borderId="0">
      <alignment horizontal="center" vertical="center"/>
      <protection/>
    </xf>
    <xf numFmtId="0" fontId="51" fillId="11" borderId="0" applyNumberFormat="0" applyBorder="0" applyAlignment="0" applyProtection="0"/>
    <xf numFmtId="0" fontId="49" fillId="0" borderId="0" applyFont="0" applyFill="0" applyBorder="0" applyAlignment="0" applyProtection="0"/>
    <xf numFmtId="0" fontId="78" fillId="0" borderId="0">
      <alignment/>
      <protection locked="0"/>
    </xf>
    <xf numFmtId="0" fontId="54" fillId="40" borderId="0" applyNumberFormat="0" applyBorder="0" applyAlignment="0" applyProtection="0"/>
    <xf numFmtId="0" fontId="76" fillId="25" borderId="15" applyNumberFormat="0" applyAlignment="0" applyProtection="0"/>
    <xf numFmtId="9" fontId="78" fillId="0" borderId="0" applyFont="0" applyFill="0" applyBorder="0" applyAlignment="0" applyProtection="0"/>
    <xf numFmtId="0" fontId="75" fillId="0" borderId="11" applyNumberFormat="0" applyFill="0" applyAlignment="0" applyProtection="0"/>
    <xf numFmtId="9" fontId="0" fillId="0" borderId="0" applyFont="0" applyFill="0" applyBorder="0" applyAlignment="0" applyProtection="0"/>
    <xf numFmtId="0" fontId="58" fillId="16" borderId="0" applyNumberFormat="0" applyBorder="0" applyAlignment="0" applyProtection="0"/>
    <xf numFmtId="0" fontId="71" fillId="41" borderId="0" applyNumberFormat="0" applyBorder="0" applyAlignment="0" applyProtection="0"/>
    <xf numFmtId="0" fontId="21" fillId="0" borderId="0">
      <alignment/>
      <protection locked="0"/>
    </xf>
    <xf numFmtId="0" fontId="74" fillId="0" borderId="0">
      <alignment/>
      <protection/>
    </xf>
    <xf numFmtId="0" fontId="51" fillId="11" borderId="0" applyNumberFormat="0" applyBorder="0" applyAlignment="0" applyProtection="0"/>
    <xf numFmtId="0" fontId="36" fillId="0" borderId="0">
      <alignment/>
      <protection/>
    </xf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8" fillId="5" borderId="0" applyNumberFormat="0" applyBorder="0" applyAlignment="0" applyProtection="0"/>
    <xf numFmtId="0" fontId="66" fillId="6" borderId="0">
      <alignment horizontal="left" vertical="center"/>
      <protection/>
    </xf>
    <xf numFmtId="0" fontId="71" fillId="44" borderId="0" applyNumberFormat="0" applyBorder="0" applyAlignment="0" applyProtection="0"/>
    <xf numFmtId="0" fontId="49" fillId="0" borderId="0">
      <alignment/>
      <protection/>
    </xf>
    <xf numFmtId="0" fontId="20" fillId="0" borderId="0">
      <alignment/>
      <protection locked="0"/>
    </xf>
    <xf numFmtId="0" fontId="102" fillId="14" borderId="2">
      <alignment/>
      <protection locked="0"/>
    </xf>
    <xf numFmtId="0" fontId="72" fillId="0" borderId="0" applyNumberFormat="0" applyFill="0" applyBorder="0" applyAlignment="0" applyProtection="0"/>
    <xf numFmtId="0" fontId="71" fillId="29" borderId="0" applyNumberFormat="0" applyBorder="0" applyAlignment="0" applyProtection="0"/>
    <xf numFmtId="188" fontId="0" fillId="0" borderId="0" applyFont="0" applyFill="0" applyBorder="0" applyAlignment="0" applyProtection="0"/>
    <xf numFmtId="0" fontId="58" fillId="5" borderId="0" applyNumberFormat="0" applyBorder="0" applyAlignment="0" applyProtection="0"/>
    <xf numFmtId="0" fontId="71" fillId="45" borderId="0" applyNumberFormat="0" applyBorder="0" applyAlignment="0" applyProtection="0"/>
    <xf numFmtId="0" fontId="77" fillId="0" borderId="14" applyNumberFormat="0" applyFill="0" applyAlignment="0" applyProtection="0"/>
    <xf numFmtId="0" fontId="57" fillId="2" borderId="0" applyNumberFormat="0" applyBorder="0" applyAlignment="0" applyProtection="0"/>
    <xf numFmtId="0" fontId="85" fillId="18" borderId="0" applyNumberFormat="0" applyBorder="0" applyAlignment="0" applyProtection="0"/>
    <xf numFmtId="0" fontId="67" fillId="11" borderId="0" applyNumberFormat="0" applyBorder="0" applyAlignment="0" applyProtection="0"/>
    <xf numFmtId="0" fontId="69" fillId="38" borderId="0" applyNumberFormat="0" applyBorder="0" applyAlignment="0" applyProtection="0"/>
    <xf numFmtId="4" fontId="83" fillId="0" borderId="0" applyFont="0" applyFill="0" applyBorder="0" applyAlignment="0" applyProtection="0"/>
    <xf numFmtId="0" fontId="57" fillId="2" borderId="0" applyNumberFormat="0" applyBorder="0" applyAlignment="0" applyProtection="0"/>
    <xf numFmtId="0" fontId="56" fillId="20" borderId="0" applyNumberFormat="0" applyBorder="0" applyAlignment="0" applyProtection="0"/>
    <xf numFmtId="0" fontId="68" fillId="28" borderId="15" applyNumberFormat="0" applyAlignment="0" applyProtection="0"/>
    <xf numFmtId="0" fontId="70" fillId="0" borderId="0">
      <alignment/>
      <protection/>
    </xf>
    <xf numFmtId="0" fontId="67" fillId="39" borderId="0" applyNumberFormat="0" applyBorder="0" applyAlignment="0" applyProtection="0"/>
    <xf numFmtId="0" fontId="58" fillId="5" borderId="0" applyNumberFormat="0" applyBorder="0" applyAlignment="0" applyProtection="0"/>
    <xf numFmtId="0" fontId="71" fillId="27" borderId="0" applyNumberFormat="0" applyBorder="0" applyAlignment="0" applyProtection="0"/>
    <xf numFmtId="0" fontId="67" fillId="37" borderId="0" applyNumberFormat="0" applyBorder="0" applyAlignment="0" applyProtection="0"/>
    <xf numFmtId="0" fontId="49" fillId="0" borderId="0">
      <alignment/>
      <protection/>
    </xf>
    <xf numFmtId="0" fontId="79" fillId="21" borderId="0">
      <alignment horizontal="center" vertical="center"/>
      <protection/>
    </xf>
    <xf numFmtId="0" fontId="0" fillId="0" borderId="0">
      <alignment/>
      <protection/>
    </xf>
    <xf numFmtId="0" fontId="79" fillId="21" borderId="0">
      <alignment horizontal="center" vertical="center"/>
      <protection/>
    </xf>
    <xf numFmtId="0" fontId="66" fillId="21" borderId="0">
      <alignment horizontal="left" vertical="center"/>
      <protection/>
    </xf>
    <xf numFmtId="0" fontId="0" fillId="0" borderId="0">
      <alignment/>
      <protection/>
    </xf>
    <xf numFmtId="0" fontId="66" fillId="21" borderId="0">
      <alignment horizontal="center" vertical="center"/>
      <protection/>
    </xf>
    <xf numFmtId="0" fontId="66" fillId="21" borderId="0">
      <alignment horizontal="right" vertical="center"/>
      <protection/>
    </xf>
    <xf numFmtId="49" fontId="73" fillId="0" borderId="0">
      <alignment horizontal="center" vertical="center"/>
      <protection locked="0"/>
    </xf>
    <xf numFmtId="201" fontId="105" fillId="0" borderId="0">
      <alignment horizontal="center" vertical="center"/>
      <protection locked="0"/>
    </xf>
    <xf numFmtId="0" fontId="65" fillId="0" borderId="0">
      <alignment/>
      <protection/>
    </xf>
    <xf numFmtId="199" fontId="4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7" fillId="2" borderId="0" applyNumberFormat="0" applyBorder="0" applyAlignment="0" applyProtection="0"/>
    <xf numFmtId="180" fontId="49" fillId="0" borderId="0" applyFont="0" applyFill="0" applyProtection="0">
      <alignment/>
    </xf>
    <xf numFmtId="0" fontId="5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62" fillId="0" borderId="5" applyNumberFormat="0" applyFill="0" applyProtection="0">
      <alignment horizontal="center"/>
    </xf>
    <xf numFmtId="0" fontId="60" fillId="0" borderId="6" applyNumberFormat="0" applyFill="0" applyProtection="0">
      <alignment horizontal="center"/>
    </xf>
    <xf numFmtId="0" fontId="57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0" borderId="6" applyNumberFormat="0" applyFill="0" applyProtection="0">
      <alignment horizontal="left"/>
    </xf>
    <xf numFmtId="0" fontId="59" fillId="12" borderId="0" applyNumberFormat="0" applyBorder="0" applyAlignment="0" applyProtection="0"/>
    <xf numFmtId="0" fontId="57" fillId="2" borderId="0" applyNumberFormat="0" applyBorder="0" applyAlignment="0" applyProtection="0"/>
    <xf numFmtId="0" fontId="58" fillId="19" borderId="0" applyNumberFormat="0" applyBorder="0" applyAlignment="0" applyProtection="0"/>
    <xf numFmtId="0" fontId="36" fillId="0" borderId="0">
      <alignment/>
      <protection/>
    </xf>
    <xf numFmtId="0" fontId="57" fillId="2" borderId="0" applyNumberFormat="0" applyBorder="0" applyAlignment="0" applyProtection="0"/>
    <xf numFmtId="0" fontId="58" fillId="4" borderId="0" applyNumberFormat="0" applyBorder="0" applyAlignment="0" applyProtection="0"/>
    <xf numFmtId="179" fontId="49" fillId="0" borderId="0" applyFont="0" applyFill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0" borderId="0">
      <alignment/>
      <protection/>
    </xf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24" borderId="16" applyNumberFormat="0" applyFont="0" applyAlignment="0" applyProtection="0"/>
    <xf numFmtId="0" fontId="54" fillId="40" borderId="0" applyNumberFormat="0" applyBorder="0" applyAlignment="0" applyProtection="0"/>
    <xf numFmtId="0" fontId="76" fillId="25" borderId="15" applyNumberFormat="0" applyAlignment="0" applyProtection="0"/>
    <xf numFmtId="0" fontId="56" fillId="20" borderId="0" applyNumberFormat="0" applyBorder="0" applyAlignment="0" applyProtection="0"/>
    <xf numFmtId="178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0" fillId="0" borderId="0">
      <alignment/>
      <protection/>
    </xf>
    <xf numFmtId="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11" borderId="0" applyNumberFormat="0" applyBorder="0" applyAlignment="0" applyProtection="0"/>
    <xf numFmtId="0" fontId="54" fillId="40" borderId="0" applyNumberFormat="0" applyBorder="0" applyAlignment="0" applyProtection="0"/>
    <xf numFmtId="41" fontId="10" fillId="0" borderId="0" applyFont="0" applyFill="0" applyBorder="0" applyAlignment="0" applyProtection="0"/>
    <xf numFmtId="0" fontId="53" fillId="46" borderId="0" applyNumberFormat="0">
      <alignment/>
      <protection/>
    </xf>
    <xf numFmtId="0" fontId="0" fillId="0" borderId="0">
      <alignment/>
      <protection/>
    </xf>
    <xf numFmtId="0" fontId="69" fillId="9" borderId="0" applyNumberFormat="0" applyBorder="0" applyAlignment="0" applyProtection="0"/>
    <xf numFmtId="177" fontId="49" fillId="0" borderId="6" applyFill="0" applyProtection="0">
      <alignment horizontal="right"/>
    </xf>
    <xf numFmtId="0" fontId="51" fillId="11" borderId="0" applyNumberFormat="0" applyBorder="0" applyAlignment="0" applyProtection="0"/>
    <xf numFmtId="0" fontId="52" fillId="32" borderId="12" applyNumberFormat="0" applyAlignment="0" applyProtection="0"/>
    <xf numFmtId="176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11" borderId="0" applyNumberFormat="0" applyBorder="0" applyAlignment="0" applyProtection="0"/>
    <xf numFmtId="0" fontId="87" fillId="11" borderId="0" applyNumberFormat="0" applyBorder="0" applyAlignment="0" applyProtection="0"/>
    <xf numFmtId="182" fontId="0" fillId="0" borderId="0" applyFont="0" applyFill="0" applyBorder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41" fontId="49" fillId="0" borderId="0" applyFont="0" applyFill="0" applyBorder="0" applyAlignment="0" applyProtection="0"/>
    <xf numFmtId="0" fontId="51" fillId="11" borderId="0" applyNumberFormat="0" applyBorder="0" applyAlignment="0" applyProtection="0"/>
    <xf numFmtId="0" fontId="56" fillId="20" borderId="0" applyNumberFormat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183" fontId="74" fillId="0" borderId="0">
      <alignment/>
      <protection/>
    </xf>
    <xf numFmtId="0" fontId="76" fillId="25" borderId="15" applyNumberFormat="0" applyAlignment="0" applyProtection="0"/>
    <xf numFmtId="0" fontId="110" fillId="0" borderId="0">
      <alignment/>
      <protection/>
    </xf>
    <xf numFmtId="0" fontId="10" fillId="0" borderId="0">
      <alignment/>
      <protection/>
    </xf>
    <xf numFmtId="206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9" fillId="13" borderId="0" applyNumberFormat="0" applyBorder="0" applyAlignment="0" applyProtection="0"/>
    <xf numFmtId="0" fontId="68" fillId="28" borderId="15" applyNumberFormat="0" applyAlignment="0" applyProtection="0"/>
    <xf numFmtId="0" fontId="0" fillId="24" borderId="16" applyNumberFormat="0" applyFont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7" xfId="0" applyBorder="1" applyAlignment="1">
      <alignment horizontal="left"/>
    </xf>
    <xf numFmtId="0" fontId="7" fillId="0" borderId="17" xfId="0" applyFont="1" applyFill="1" applyBorder="1" applyAlignment="1">
      <alignment horizontal="left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214" fontId="5" fillId="0" borderId="7" xfId="0" applyNumberFormat="1" applyFont="1" applyBorder="1" applyAlignment="1">
      <alignment horizontal="center" vertical="center" wrapText="1" shrinkToFit="1"/>
    </xf>
    <xf numFmtId="1" fontId="7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215" fontId="10" fillId="0" borderId="7" xfId="0" applyNumberFormat="1" applyFont="1" applyFill="1" applyBorder="1" applyAlignment="1">
      <alignment horizontal="center" vertical="center" wrapText="1"/>
    </xf>
    <xf numFmtId="216" fontId="5" fillId="0" borderId="7" xfId="0" applyNumberFormat="1" applyFont="1" applyBorder="1" applyAlignment="1">
      <alignment horizontal="center" vertical="center" wrapText="1" shrinkToFit="1"/>
    </xf>
    <xf numFmtId="214" fontId="7" fillId="0" borderId="7" xfId="0" applyNumberFormat="1" applyFont="1" applyBorder="1" applyAlignment="1">
      <alignment horizontal="center" vertical="center" wrapText="1" shrinkToFit="1"/>
    </xf>
    <xf numFmtId="216" fontId="8" fillId="0" borderId="7" xfId="0" applyNumberFormat="1" applyFont="1" applyBorder="1" applyAlignment="1">
      <alignment horizontal="center" vertical="center" shrinkToFit="1"/>
    </xf>
    <xf numFmtId="216" fontId="11" fillId="0" borderId="7" xfId="0" applyNumberFormat="1" applyFont="1" applyBorder="1" applyAlignment="1">
      <alignment horizontal="center" vertical="center" shrinkToFit="1"/>
    </xf>
    <xf numFmtId="216" fontId="12" fillId="0" borderId="7" xfId="0" applyNumberFormat="1" applyFont="1" applyBorder="1" applyAlignment="1">
      <alignment horizontal="center" vertical="center" shrinkToFit="1"/>
    </xf>
    <xf numFmtId="216" fontId="7" fillId="0" borderId="7" xfId="0" applyNumberFormat="1" applyFont="1" applyBorder="1" applyAlignment="1">
      <alignment horizontal="center" vertical="center" wrapText="1" shrinkToFit="1"/>
    </xf>
    <xf numFmtId="216" fontId="13" fillId="0" borderId="7" xfId="0" applyNumberFormat="1" applyFont="1" applyBorder="1" applyAlignment="1">
      <alignment horizontal="center" vertical="center" shrinkToFit="1"/>
    </xf>
    <xf numFmtId="216" fontId="12" fillId="0" borderId="7" xfId="0" applyNumberFormat="1" applyFont="1" applyBorder="1" applyAlignment="1">
      <alignment horizontal="center" vertical="center" wrapText="1" shrinkToFit="1"/>
    </xf>
    <xf numFmtId="216" fontId="14" fillId="0" borderId="7" xfId="0" applyNumberFormat="1" applyFont="1" applyFill="1" applyBorder="1" applyAlignment="1">
      <alignment horizontal="center" vertical="center" wrapText="1" shrinkToFit="1"/>
    </xf>
    <xf numFmtId="215" fontId="15" fillId="0" borderId="7" xfId="0" applyNumberFormat="1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216" fontId="7" fillId="0" borderId="7" xfId="0" applyNumberFormat="1" applyFont="1" applyFill="1" applyBorder="1" applyAlignment="1">
      <alignment horizontal="center" vertical="center" wrapText="1" shrinkToFit="1"/>
    </xf>
    <xf numFmtId="178" fontId="7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214" fontId="17" fillId="0" borderId="7" xfId="0" applyNumberFormat="1" applyFont="1" applyBorder="1" applyAlignment="1">
      <alignment horizontal="center" vertical="center" wrapText="1" shrinkToFit="1"/>
    </xf>
    <xf numFmtId="1" fontId="17" fillId="0" borderId="7" xfId="0" applyNumberFormat="1" applyFont="1" applyBorder="1" applyAlignment="1">
      <alignment horizontal="center" vertical="center" wrapTex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214" fontId="7" fillId="0" borderId="7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216" fontId="11" fillId="0" borderId="7" xfId="325" applyNumberFormat="1" applyFont="1" applyFill="1" applyBorder="1" applyAlignment="1">
      <alignment horizontal="center" vertical="center" wrapText="1" shrinkToFit="1"/>
      <protection/>
    </xf>
    <xf numFmtId="2" fontId="7" fillId="0" borderId="18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216" fontId="18" fillId="0" borderId="7" xfId="325" applyNumberFormat="1" applyFont="1" applyFill="1" applyBorder="1" applyAlignment="1">
      <alignment horizontal="center" vertical="center" wrapText="1" shrinkToFit="1"/>
      <protection/>
    </xf>
    <xf numFmtId="214" fontId="5" fillId="0" borderId="7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216" fontId="8" fillId="0" borderId="7" xfId="0" applyNumberFormat="1" applyFont="1" applyBorder="1" applyAlignment="1">
      <alignment horizontal="center" vertical="center" wrapText="1" shrinkToFit="1"/>
    </xf>
    <xf numFmtId="1" fontId="8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215" fontId="7" fillId="0" borderId="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shrinkToFit="1"/>
    </xf>
    <xf numFmtId="1" fontId="10" fillId="0" borderId="7" xfId="0" applyNumberFormat="1" applyFont="1" applyBorder="1" applyAlignment="1">
      <alignment horizontal="center" vertical="center" wrapText="1"/>
    </xf>
    <xf numFmtId="216" fontId="7" fillId="0" borderId="7" xfId="0" applyNumberFormat="1" applyFont="1" applyBorder="1" applyAlignment="1">
      <alignment horizontal="center" vertical="center" shrinkToFit="1"/>
    </xf>
    <xf numFmtId="216" fontId="15" fillId="0" borderId="7" xfId="0" applyNumberFormat="1" applyFont="1" applyBorder="1" applyAlignment="1">
      <alignment horizontal="center" vertical="center" shrinkToFit="1"/>
    </xf>
    <xf numFmtId="0" fontId="7" fillId="0" borderId="7" xfId="32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7" fillId="0" borderId="7" xfId="0" applyNumberFormat="1" applyFont="1" applyBorder="1" applyAlignment="1">
      <alignment horizontal="left" vertical="center" wrapText="1"/>
    </xf>
    <xf numFmtId="214" fontId="7" fillId="21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16" fontId="19" fillId="0" borderId="7" xfId="0" applyNumberFormat="1" applyFont="1" applyBorder="1" applyAlignment="1">
      <alignment horizontal="center" vertical="center" wrapText="1"/>
    </xf>
    <xf numFmtId="216" fontId="7" fillId="0" borderId="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shrinkToFit="1"/>
    </xf>
    <xf numFmtId="178" fontId="7" fillId="0" borderId="7" xfId="0" applyNumberFormat="1" applyFont="1" applyBorder="1" applyAlignment="1">
      <alignment horizontal="center" vertical="center" shrinkToFit="1"/>
    </xf>
    <xf numFmtId="214" fontId="5" fillId="0" borderId="0" xfId="0" applyNumberFormat="1" applyFont="1" applyAlignment="1">
      <alignment horizontal="center" vertical="center" shrinkToFit="1"/>
    </xf>
    <xf numFmtId="216" fontId="22" fillId="0" borderId="7" xfId="0" applyNumberFormat="1" applyFont="1" applyBorder="1" applyAlignment="1">
      <alignment horizontal="center" vertical="center" wrapText="1" shrinkToFit="1"/>
    </xf>
    <xf numFmtId="216" fontId="14" fillId="0" borderId="7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214" fontId="20" fillId="0" borderId="7" xfId="0" applyNumberFormat="1" applyFont="1" applyBorder="1" applyAlignment="1">
      <alignment horizontal="center" vertical="center" wrapText="1" shrinkToFit="1"/>
    </xf>
    <xf numFmtId="1" fontId="21" fillId="0" borderId="7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16" fontId="17" fillId="0" borderId="7" xfId="0" applyNumberFormat="1" applyFont="1" applyBorder="1" applyAlignment="1">
      <alignment horizontal="center" vertical="center" wrapText="1" shrinkToFit="1"/>
    </xf>
    <xf numFmtId="216" fontId="10" fillId="0" borderId="7" xfId="0" applyNumberFormat="1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 shrinkToFit="1"/>
    </xf>
    <xf numFmtId="216" fontId="10" fillId="0" borderId="5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5" fillId="0" borderId="7" xfId="0" applyNumberFormat="1" applyFont="1" applyBorder="1" applyAlignment="1">
      <alignment horizontal="center" vertical="center" shrinkToFit="1"/>
    </xf>
    <xf numFmtId="216" fontId="21" fillId="0" borderId="7" xfId="0" applyNumberFormat="1" applyFont="1" applyBorder="1" applyAlignment="1">
      <alignment horizontal="center" vertical="center" shrinkToFit="1"/>
    </xf>
    <xf numFmtId="216" fontId="21" fillId="0" borderId="7" xfId="0" applyNumberFormat="1" applyFont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 shrinkToFit="1"/>
    </xf>
    <xf numFmtId="216" fontId="20" fillId="0" borderId="7" xfId="0" applyNumberFormat="1" applyFont="1" applyBorder="1" applyAlignment="1">
      <alignment horizontal="center" vertical="center" wrapText="1" shrinkToFit="1"/>
    </xf>
    <xf numFmtId="1" fontId="23" fillId="0" borderId="7" xfId="0" applyNumberFormat="1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216" fontId="23" fillId="0" borderId="7" xfId="0" applyNumberFormat="1" applyFont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214" fontId="10" fillId="0" borderId="7" xfId="0" applyNumberFormat="1" applyFont="1" applyBorder="1" applyAlignment="1">
      <alignment horizontal="center" vertical="center" wrapText="1" shrinkToFit="1"/>
    </xf>
    <xf numFmtId="178" fontId="10" fillId="0" borderId="7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7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7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16" fontId="11" fillId="0" borderId="7" xfId="0" applyNumberFormat="1" applyFont="1" applyBorder="1" applyAlignment="1">
      <alignment horizontal="center" vertical="center" wrapText="1" shrinkToFit="1"/>
    </xf>
    <xf numFmtId="1" fontId="12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14" fontId="15" fillId="0" borderId="7" xfId="0" applyNumberFormat="1" applyFont="1" applyBorder="1" applyAlignment="1">
      <alignment horizontal="center" vertical="center" wrapText="1" shrinkToFit="1"/>
    </xf>
    <xf numFmtId="214" fontId="14" fillId="0" borderId="7" xfId="0" applyNumberFormat="1" applyFont="1" applyBorder="1" applyAlignment="1">
      <alignment horizontal="center" vertical="center" wrapText="1" shrinkToFit="1"/>
    </xf>
    <xf numFmtId="216" fontId="28" fillId="0" borderId="7" xfId="0" applyNumberFormat="1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1" fontId="7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16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Fill="1" applyAlignment="1">
      <alignment wrapText="1"/>
    </xf>
    <xf numFmtId="0" fontId="13" fillId="0" borderId="23" xfId="0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7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7" xfId="0" applyNumberFormat="1" applyFont="1" applyBorder="1" applyAlignment="1">
      <alignment horizontal="center" vertical="center" wrapText="1" shrinkToFit="1"/>
    </xf>
    <xf numFmtId="1" fontId="7" fillId="0" borderId="23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216" fontId="7" fillId="0" borderId="23" xfId="0" applyNumberFormat="1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214" fontId="12" fillId="0" borderId="7" xfId="0" applyNumberFormat="1" applyFont="1" applyBorder="1" applyAlignment="1">
      <alignment horizontal="center" vertical="center" wrapText="1"/>
    </xf>
    <xf numFmtId="214" fontId="4" fillId="0" borderId="7" xfId="0" applyNumberFormat="1" applyFont="1" applyBorder="1" applyAlignment="1" applyProtection="1">
      <alignment horizontal="center" vertical="center" wrapText="1" shrinkToFit="1"/>
      <protection locked="0"/>
    </xf>
    <xf numFmtId="216" fontId="5" fillId="0" borderId="23" xfId="0" applyNumberFormat="1" applyFont="1" applyBorder="1" applyAlignment="1">
      <alignment horizontal="center" vertical="center" wrapText="1" shrinkToFit="1"/>
    </xf>
    <xf numFmtId="216" fontId="8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7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7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7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7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178" fontId="7" fillId="0" borderId="0" xfId="0" applyNumberFormat="1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16" fillId="0" borderId="7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4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 shrinkToFit="1"/>
    </xf>
    <xf numFmtId="0" fontId="13" fillId="0" borderId="7" xfId="0" applyNumberFormat="1" applyFont="1" applyBorder="1" applyAlignment="1">
      <alignment horizontal="left" vertical="center" wrapText="1" shrinkToFit="1"/>
    </xf>
    <xf numFmtId="0" fontId="4" fillId="0" borderId="7" xfId="0" applyNumberFormat="1" applyFont="1" applyBorder="1" applyAlignment="1">
      <alignment horizontal="left" vertical="center" wrapText="1" shrinkToFit="1"/>
    </xf>
    <xf numFmtId="0" fontId="7" fillId="0" borderId="7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7" xfId="0" applyFont="1" applyBorder="1" applyAlignment="1">
      <alignment horizontal="center" vertical="center" shrinkToFit="1"/>
    </xf>
    <xf numFmtId="1" fontId="15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shrinkToFit="1"/>
    </xf>
    <xf numFmtId="216" fontId="13" fillId="0" borderId="7" xfId="0" applyNumberFormat="1" applyFont="1" applyBorder="1" applyAlignment="1">
      <alignment horizontal="center" vertical="center" wrapText="1" shrinkToFit="1"/>
    </xf>
    <xf numFmtId="1" fontId="9" fillId="0" borderId="7" xfId="0" applyNumberFormat="1" applyFont="1" applyBorder="1" applyAlignment="1">
      <alignment horizontal="center" vertical="center" wrapText="1"/>
    </xf>
    <xf numFmtId="216" fontId="13" fillId="0" borderId="7" xfId="0" applyNumberFormat="1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shrinkToFit="1"/>
    </xf>
    <xf numFmtId="1" fontId="33" fillId="0" borderId="7" xfId="0" applyNumberFormat="1" applyFont="1" applyBorder="1" applyAlignment="1">
      <alignment horizontal="center" vertical="center" wrapText="1"/>
    </xf>
    <xf numFmtId="216" fontId="33" fillId="0" borderId="7" xfId="0" applyNumberFormat="1" applyFont="1" applyBorder="1" applyAlignment="1">
      <alignment horizontal="center" vertical="center" wrapText="1" shrinkToFit="1"/>
    </xf>
    <xf numFmtId="216" fontId="15" fillId="0" borderId="7" xfId="0" applyNumberFormat="1" applyFont="1" applyFill="1" applyBorder="1" applyAlignment="1">
      <alignment horizontal="center" vertical="center" wrapText="1" shrinkToFit="1"/>
    </xf>
    <xf numFmtId="1" fontId="34" fillId="0" borderId="7" xfId="0" applyNumberFormat="1" applyFont="1" applyBorder="1" applyAlignment="1">
      <alignment horizontal="center" vertical="center" wrapText="1"/>
    </xf>
    <xf numFmtId="216" fontId="9" fillId="0" borderId="7" xfId="0" applyNumberFormat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4" fontId="15" fillId="0" borderId="7" xfId="0" applyNumberFormat="1" applyFont="1" applyBorder="1" applyAlignment="1">
      <alignment horizontal="center" vertical="center" shrinkToFit="1"/>
    </xf>
    <xf numFmtId="178" fontId="15" fillId="0" borderId="5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3" fillId="0" borderId="7" xfId="0" applyFont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wrapText="1"/>
    </xf>
    <xf numFmtId="216" fontId="14" fillId="0" borderId="7" xfId="32" applyNumberFormat="1" applyFont="1" applyBorder="1" applyAlignment="1">
      <alignment horizontal="center" vertical="center" wrapText="1" shrinkToFit="1"/>
      <protection/>
    </xf>
    <xf numFmtId="0" fontId="7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216" fontId="21" fillId="0" borderId="5" xfId="0" applyNumberFormat="1" applyFont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 vertical="center" wrapText="1" shrinkToFi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26" fillId="0" borderId="7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216" fontId="4" fillId="0" borderId="7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216" fontId="5" fillId="0" borderId="5" xfId="0" applyNumberFormat="1" applyFont="1" applyBorder="1" applyAlignment="1">
      <alignment horizontal="center" vertical="center" shrinkToFit="1"/>
    </xf>
    <xf numFmtId="1" fontId="41" fillId="0" borderId="7" xfId="0" applyNumberFormat="1" applyFont="1" applyBorder="1" applyAlignment="1">
      <alignment horizontal="center" vertical="center" wrapText="1"/>
    </xf>
    <xf numFmtId="216" fontId="5" fillId="0" borderId="7" xfId="0" applyNumberFormat="1" applyFont="1" applyFill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216" fontId="7" fillId="0" borderId="5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wrapText="1" shrinkToFit="1"/>
    </xf>
    <xf numFmtId="216" fontId="41" fillId="0" borderId="5" xfId="0" applyNumberFormat="1" applyFont="1" applyBorder="1" applyAlignment="1">
      <alignment horizontal="center" vertical="center" shrinkToFit="1"/>
    </xf>
    <xf numFmtId="216" fontId="10" fillId="0" borderId="7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216" fontId="22" fillId="0" borderId="7" xfId="0" applyNumberFormat="1" applyFont="1" applyFill="1" applyBorder="1" applyAlignment="1">
      <alignment horizontal="center" vertical="center" wrapText="1" shrinkToFit="1"/>
    </xf>
    <xf numFmtId="216" fontId="7" fillId="0" borderId="23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1" fontId="28" fillId="0" borderId="7" xfId="0" applyNumberFormat="1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0" xfId="0" applyNumberFormat="1" applyFont="1" applyAlignment="1">
      <alignment horizontal="center" vertical="center" wrapText="1" shrinkToFit="1"/>
    </xf>
    <xf numFmtId="1" fontId="22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7" fillId="0" borderId="0" xfId="0" applyNumberFormat="1" applyFont="1" applyBorder="1" applyAlignment="1">
      <alignment horizontal="center" vertical="center" shrinkToFit="1"/>
    </xf>
    <xf numFmtId="216" fontId="5" fillId="0" borderId="0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 shrinkToFit="1"/>
    </xf>
    <xf numFmtId="214" fontId="17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2" xfId="0" applyFont="1" applyBorder="1" applyAlignment="1">
      <alignment horizontal="center" vertical="center" wrapText="1" shrinkToFit="1"/>
    </xf>
    <xf numFmtId="1" fontId="4" fillId="0" borderId="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214" fontId="43" fillId="0" borderId="7" xfId="0" applyNumberFormat="1" applyFont="1" applyBorder="1" applyAlignment="1">
      <alignment horizontal="center" vertical="center" wrapText="1" shrinkToFit="1"/>
    </xf>
    <xf numFmtId="1" fontId="43" fillId="0" borderId="7" xfId="0" applyNumberFormat="1" applyFont="1" applyBorder="1" applyAlignment="1">
      <alignment horizontal="center" vertical="center" wrapText="1"/>
    </xf>
    <xf numFmtId="1" fontId="44" fillId="0" borderId="7" xfId="0" applyNumberFormat="1" applyFont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center" vertical="center" wrapText="1"/>
    </xf>
    <xf numFmtId="216" fontId="43" fillId="0" borderId="7" xfId="0" applyNumberFormat="1" applyFont="1" applyBorder="1" applyAlignment="1">
      <alignment horizontal="center" vertical="center" wrapText="1" shrinkToFit="1"/>
    </xf>
    <xf numFmtId="216" fontId="16" fillId="0" borderId="7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 shrinkToFit="1"/>
    </xf>
    <xf numFmtId="214" fontId="44" fillId="0" borderId="7" xfId="0" applyNumberFormat="1" applyFont="1" applyBorder="1" applyAlignment="1">
      <alignment horizontal="center" vertical="center" wrapText="1" shrinkToFit="1"/>
    </xf>
    <xf numFmtId="1" fontId="46" fillId="0" borderId="7" xfId="0" applyNumberFormat="1" applyFont="1" applyBorder="1" applyAlignment="1">
      <alignment horizontal="center" vertical="center" wrapText="1"/>
    </xf>
    <xf numFmtId="216" fontId="44" fillId="0" borderId="7" xfId="0" applyNumberFormat="1" applyFont="1" applyBorder="1" applyAlignment="1">
      <alignment horizontal="center" vertical="center" wrapText="1" shrinkToFit="1"/>
    </xf>
    <xf numFmtId="2" fontId="7" fillId="0" borderId="7" xfId="0" applyNumberFormat="1" applyFont="1" applyBorder="1" applyAlignment="1">
      <alignment horizontal="center" vertical="center" wrapText="1"/>
    </xf>
    <xf numFmtId="215" fontId="7" fillId="0" borderId="7" xfId="0" applyNumberFormat="1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" fontId="16" fillId="0" borderId="7" xfId="0" applyNumberFormat="1" applyFont="1" applyBorder="1" applyAlignment="1">
      <alignment horizontal="center" vertical="center" wrapText="1"/>
    </xf>
    <xf numFmtId="216" fontId="16" fillId="0" borderId="7" xfId="0" applyNumberFormat="1" applyFont="1" applyBorder="1" applyAlignment="1">
      <alignment horizontal="center" vertical="center" wrapText="1" shrinkToFit="1"/>
    </xf>
    <xf numFmtId="1" fontId="7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2" fillId="0" borderId="7" xfId="325" applyFont="1" applyFill="1" applyBorder="1" applyAlignment="1">
      <alignment horizontal="center" vertical="center" wrapText="1"/>
      <protection/>
    </xf>
    <xf numFmtId="0" fontId="26" fillId="0" borderId="7" xfId="0" applyFont="1" applyFill="1" applyBorder="1" applyAlignment="1">
      <alignment horizontal="center" vertical="center" wrapText="1"/>
    </xf>
    <xf numFmtId="215" fontId="26" fillId="0" borderId="7" xfId="0" applyNumberFormat="1" applyFont="1" applyBorder="1" applyAlignment="1">
      <alignment horizontal="center" vertical="center" wrapText="1" shrinkToFit="1"/>
    </xf>
    <xf numFmtId="178" fontId="7" fillId="0" borderId="7" xfId="0" applyNumberFormat="1" applyFont="1" applyFill="1" applyBorder="1" applyAlignment="1">
      <alignment horizontal="center" vertical="center" shrinkToFit="1"/>
    </xf>
    <xf numFmtId="216" fontId="26" fillId="0" borderId="7" xfId="0" applyNumberFormat="1" applyFont="1" applyFill="1" applyBorder="1" applyAlignment="1">
      <alignment horizontal="center" vertical="center" wrapText="1" shrinkToFit="1"/>
    </xf>
    <xf numFmtId="214" fontId="22" fillId="0" borderId="7" xfId="0" applyNumberFormat="1" applyFont="1" applyFill="1" applyBorder="1" applyAlignment="1">
      <alignment horizontal="center" vertical="center" wrapText="1" shrinkToFit="1"/>
    </xf>
    <xf numFmtId="1" fontId="22" fillId="0" borderId="7" xfId="325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 shrinkToFit="1"/>
    </xf>
    <xf numFmtId="215" fontId="10" fillId="0" borderId="7" xfId="0" applyNumberFormat="1" applyFont="1" applyBorder="1" applyAlignment="1">
      <alignment horizontal="center" vertical="center" wrapText="1" shrinkToFit="1"/>
    </xf>
    <xf numFmtId="215" fontId="48" fillId="0" borderId="7" xfId="0" applyNumberFormat="1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215" fontId="7" fillId="0" borderId="7" xfId="0" applyNumberFormat="1" applyFont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wrapText="1"/>
    </xf>
    <xf numFmtId="0" fontId="7" fillId="0" borderId="18" xfId="0" applyFont="1" applyBorder="1" applyAlignment="1">
      <alignment horizontal="center" vertical="center" wrapText="1" shrinkToFit="1"/>
    </xf>
    <xf numFmtId="2" fontId="7" fillId="0" borderId="7" xfId="0" applyNumberFormat="1" applyFont="1" applyBorder="1" applyAlignment="1">
      <alignment horizontal="center" vertical="center" wrapText="1" shrinkToFit="1"/>
    </xf>
    <xf numFmtId="214" fontId="7" fillId="0" borderId="5" xfId="0" applyNumberFormat="1" applyFont="1" applyBorder="1" applyAlignment="1">
      <alignment horizontal="center" vertical="center" wrapText="1" shrinkToFit="1"/>
    </xf>
    <xf numFmtId="214" fontId="7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1,000" xfId="15"/>
    <cellStyle name="_弱电系统设备配置报价清单" xfId="16"/>
    <cellStyle name="差_台州 2_湖州" xfId="17"/>
    <cellStyle name="Accent4 - 60% 2" xfId="18"/>
    <cellStyle name="_ET_STYLE_NoName_00__Book1_1" xfId="19"/>
    <cellStyle name="—" xfId="20"/>
    <cellStyle name="_ET_STYLE_NoName_00_" xfId="21"/>
    <cellStyle name="Accent4 5" xfId="22"/>
    <cellStyle name="(1,000)x" xfId="23"/>
    <cellStyle name="_CurrencySpace" xfId="24"/>
    <cellStyle name="_Book1" xfId="25"/>
    <cellStyle name="Currency1" xfId="26"/>
    <cellStyle name="表标题" xfId="27"/>
    <cellStyle name="Currency_!!!GO" xfId="28"/>
    <cellStyle name="—_CMHK_2001_backup1" xfId="29"/>
    <cellStyle name="Comma_!!!GO" xfId="30"/>
    <cellStyle name="comma zerodec" xfId="31"/>
    <cellStyle name="常规_Sheet1_8" xfId="32"/>
    <cellStyle name="_Book1_2" xfId="33"/>
    <cellStyle name="Accent5" xfId="34"/>
    <cellStyle name="S1" xfId="35"/>
    <cellStyle name="Accent4 - 40% 2" xfId="36"/>
    <cellStyle name="—_EM_CMHKconsolidated Debt Ratios 05302001" xfId="37"/>
    <cellStyle name="_PercentSpace" xfId="38"/>
    <cellStyle name="S2 2" xfId="39"/>
    <cellStyle name="—_GS_Cash " xfId="40"/>
    <cellStyle name="Accent6 2" xfId="41"/>
    <cellStyle name="0,0&#13;&#10;NA&#13;&#10;" xfId="42"/>
    <cellStyle name="Accent3 - 60%" xfId="43"/>
    <cellStyle name="Accent6 - 40%" xfId="44"/>
    <cellStyle name="—_report1198tables_anne" xfId="45"/>
    <cellStyle name="汇总 2" xfId="46"/>
    <cellStyle name="强调 3" xfId="47"/>
    <cellStyle name="常规 2" xfId="48"/>
    <cellStyle name="昗弨_Pacific Region P&amp;L" xfId="49"/>
    <cellStyle name="Accent2 3" xfId="50"/>
    <cellStyle name="_ET_STYLE_NoName_00__Book1" xfId="51"/>
    <cellStyle name="好_衢州 2" xfId="52"/>
    <cellStyle name="_MultipleSpace" xfId="53"/>
    <cellStyle name="常规 7 2" xfId="54"/>
    <cellStyle name="好_湖州 2_湖州" xfId="55"/>
    <cellStyle name="差_Book1_Book1 2" xfId="56"/>
    <cellStyle name="_Currency_summary for consolidation" xfId="57"/>
    <cellStyle name="Column$Headings" xfId="58"/>
    <cellStyle name="强调 1" xfId="59"/>
    <cellStyle name="S0 2" xfId="60"/>
    <cellStyle name="Accent4 2" xfId="61"/>
    <cellStyle name="(1,000)" xfId="62"/>
    <cellStyle name="好_金华 2_湖州" xfId="63"/>
    <cellStyle name="Moneda_96 Risk" xfId="64"/>
    <cellStyle name="t" xfId="65"/>
    <cellStyle name="Header2" xfId="66"/>
    <cellStyle name="Accent1" xfId="67"/>
    <cellStyle name="Accent1 2" xfId="68"/>
    <cellStyle name="好_201210月材料价格调查季度表格1 2_湖州" xfId="69"/>
    <cellStyle name="Accent1 - 40% 2" xfId="70"/>
    <cellStyle name="Moneda [0]_96 Risk" xfId="71"/>
    <cellStyle name="Accent2 4" xfId="72"/>
    <cellStyle name="Accent1 - 60%" xfId="73"/>
    <cellStyle name="Hardcoded 0" xfId="74"/>
    <cellStyle name="S0" xfId="75"/>
    <cellStyle name="Accent4" xfId="76"/>
    <cellStyle name="Accent1 5" xfId="77"/>
    <cellStyle name="InputArea" xfId="78"/>
    <cellStyle name="Accent2 - 20% 2" xfId="79"/>
    <cellStyle name="Accent2 - 60% 2" xfId="80"/>
    <cellStyle name="Accent2 2" xfId="81"/>
    <cellStyle name="Accent2 5" xfId="82"/>
    <cellStyle name="Accent3 - 20%" xfId="83"/>
    <cellStyle name="s]&#13;&#10;load=&#13;&#10;run=&#13;&#10;NullPort=None&#13;&#10;device=HP LaserJet 4 Plus,HPPCL5MS,LPT1:&#13;&#10;&#13;&#10;[Desktop]&#13;&#10;Wallpaper=(无)&#13;&#10;TileWallpaper=0&#13; 2" xfId="84"/>
    <cellStyle name="Accent3 - 20% 2" xfId="85"/>
    <cellStyle name="Accent3 - 40%" xfId="86"/>
    <cellStyle name="Accent3 - 40% 2" xfId="87"/>
    <cellStyle name="Accent3 - 60% 2" xfId="88"/>
    <cellStyle name="Accent3 2" xfId="89"/>
    <cellStyle name="S4" xfId="90"/>
    <cellStyle name="Accent3 4" xfId="91"/>
    <cellStyle name="S6" xfId="92"/>
    <cellStyle name="sMECftC101A" xfId="93"/>
    <cellStyle name="Dollar" xfId="94"/>
    <cellStyle name="好_台州 2_湖州" xfId="95"/>
    <cellStyle name="分级显示行_1_Book1" xfId="96"/>
    <cellStyle name="Accent3 5" xfId="97"/>
    <cellStyle name="Accent1 - 60% 2" xfId="98"/>
    <cellStyle name="S7" xfId="99"/>
    <cellStyle name="Accent4 - 20% 2" xfId="100"/>
    <cellStyle name="Accent4 - 40%" xfId="101"/>
    <cellStyle name="Millares [0]_96 Risk" xfId="102"/>
    <cellStyle name="sMECfd101B" xfId="103"/>
    <cellStyle name="_ET_STYLE_NoName_00__Book1_2" xfId="104"/>
    <cellStyle name="Accent4 4" xfId="105"/>
    <cellStyle name="Column Headings" xfId="106"/>
    <cellStyle name="差_衢州 2" xfId="107"/>
    <cellStyle name="sstot" xfId="108"/>
    <cellStyle name="Accent6 - 20%" xfId="109"/>
    <cellStyle name="Dollar (zero dec)" xfId="110"/>
    <cellStyle name="—_I&amp;O Report Tables_candicetables" xfId="111"/>
    <cellStyle name="Millares_96 Risk" xfId="112"/>
    <cellStyle name="_Book1_1_Book1" xfId="113"/>
    <cellStyle name="Accent5 - 40%" xfId="114"/>
    <cellStyle name="S3" xfId="115"/>
    <cellStyle name="e鯪9Y_x000B_ 2" xfId="116"/>
    <cellStyle name="差_Book1_Book1" xfId="117"/>
    <cellStyle name="Accent6 5" xfId="118"/>
    <cellStyle name="Currency [0]_!!!GO" xfId="119"/>
    <cellStyle name="—_GS Assumptions-F" xfId="120"/>
    <cellStyle name="_Currency" xfId="121"/>
    <cellStyle name="Accent4 3" xfId="122"/>
    <cellStyle name="Accent1 - 20%" xfId="123"/>
    <cellStyle name="General" xfId="124"/>
    <cellStyle name="_Book1_1" xfId="125"/>
    <cellStyle name="e鯪9Y_x000B_" xfId="126"/>
    <cellStyle name="—_I&amp;O Report Tables" xfId="127"/>
    <cellStyle name="Linked Cells" xfId="128"/>
    <cellStyle name="Date" xfId="129"/>
    <cellStyle name="Header1" xfId="130"/>
    <cellStyle name="编号" xfId="131"/>
    <cellStyle name="Accent6 - 60%" xfId="132"/>
    <cellStyle name="Normal_!!!GO" xfId="133"/>
    <cellStyle name="Lines Fill" xfId="134"/>
    <cellStyle name="差_嘉兴 2" xfId="135"/>
    <cellStyle name="PSChar" xfId="136"/>
    <cellStyle name="Accent2 - 40% 2" xfId="137"/>
    <cellStyle name="好_台州" xfId="138"/>
    <cellStyle name="S3 2" xfId="139"/>
    <cellStyle name="Accent5 - 40% 2" xfId="140"/>
    <cellStyle name="Accent6 - 60% 2" xfId="141"/>
    <cellStyle name="常规 6" xfId="142"/>
    <cellStyle name="ColLevel_1" xfId="143"/>
    <cellStyle name="Accent1 - 40%" xfId="144"/>
    <cellStyle name="Accent6 3" xfId="145"/>
    <cellStyle name="Accent5 - 20% 2" xfId="146"/>
    <cellStyle name="数量" xfId="147"/>
    <cellStyle name="Accent6 4" xfId="148"/>
    <cellStyle name="args.style" xfId="149"/>
    <cellStyle name="Euro" xfId="150"/>
    <cellStyle name="—_EM_CMHK" xfId="151"/>
    <cellStyle name="Accent4 - 60%" xfId="152"/>
    <cellStyle name="常规 4 2" xfId="153"/>
    <cellStyle name="—_GS_DCF" xfId="154"/>
    <cellStyle name="Input [yellow]" xfId="155"/>
    <cellStyle name="Accent6" xfId="156"/>
    <cellStyle name="S2" xfId="157"/>
    <cellStyle name="AFE" xfId="158"/>
    <cellStyle name="Accent5 - 20%" xfId="159"/>
    <cellStyle name="—_EM_CMHKconsolidated" xfId="160"/>
    <cellStyle name="Accent2 - 60%" xfId="161"/>
    <cellStyle name="Comma [0]_!!!GO" xfId="162"/>
    <cellStyle name="Grey" xfId="163"/>
    <cellStyle name="—_CMHK_2001_revised_overall 053001" xfId="164"/>
    <cellStyle name="Input Cells" xfId="165"/>
    <cellStyle name="_Book1_Book1" xfId="166"/>
    <cellStyle name="1,000x" xfId="167"/>
    <cellStyle name="_Book1_湖州" xfId="168"/>
    <cellStyle name="—_Book2" xfId="169"/>
    <cellStyle name="sMECftE101A" xfId="170"/>
    <cellStyle name="60% - 强调文字颜色 4" xfId="171"/>
    <cellStyle name="_Multiple" xfId="172"/>
    <cellStyle name="per.style" xfId="173"/>
    <cellStyle name="PSHeading" xfId="174"/>
    <cellStyle name="Followed Hyperlink" xfId="175"/>
    <cellStyle name="_Book1_201210月材料价格调查季度表格1" xfId="176"/>
    <cellStyle name="捠壿 [0.00]_Region Orders (2)" xfId="177"/>
    <cellStyle name="—_CMHK_2001_revised" xfId="178"/>
    <cellStyle name="Accent6 - 40% 2" xfId="179"/>
    <cellStyle name="差_湖州" xfId="180"/>
    <cellStyle name="_附件7：亳州地区G13无线初步方案编制过程参考表格" xfId="181"/>
    <cellStyle name="_Currency_CMHK_2001_backup1" xfId="182"/>
    <cellStyle name="_Comma" xfId="183"/>
    <cellStyle name="PillarTotal 2" xfId="184"/>
    <cellStyle name="Accent2" xfId="185"/>
    <cellStyle name="Accent1 3" xfId="186"/>
    <cellStyle name="20% - 强调文字颜色 6" xfId="187"/>
    <cellStyle name="_Percent" xfId="188"/>
    <cellStyle name="Accent2 - 40%" xfId="189"/>
    <cellStyle name="sMECfN101A" xfId="190"/>
    <cellStyle name="—_report1198tables" xfId="191"/>
    <cellStyle name="Accent1 - 20% 2" xfId="192"/>
    <cellStyle name="40% - 强调文字颜色 2" xfId="193"/>
    <cellStyle name="链接单元格 2" xfId="194"/>
    <cellStyle name="差_201210月材料价格调查季度表格1 2" xfId="195"/>
    <cellStyle name="好_嘉兴 2" xfId="196"/>
    <cellStyle name="no dec" xfId="197"/>
    <cellStyle name="Mon閠aire [0]_!!!GO" xfId="198"/>
    <cellStyle name="—_report1198tables_tables_99" xfId="199"/>
    <cellStyle name="Mon閠aire_!!!GO" xfId="200"/>
    <cellStyle name="PillarData" xfId="201"/>
    <cellStyle name="PillarData 2" xfId="202"/>
    <cellStyle name="콤마_BOILER-CO1" xfId="203"/>
    <cellStyle name="PillarHeading 2" xfId="204"/>
    <cellStyle name="PSSpacer" xfId="205"/>
    <cellStyle name="常规 3 2" xfId="206"/>
    <cellStyle name="RowLevel_1" xfId="207"/>
    <cellStyle name="New Times Roman" xfId="208"/>
    <cellStyle name="60% - 强调文字颜色 6" xfId="209"/>
    <cellStyle name="Number" xfId="210"/>
    <cellStyle name="常规 4 3" xfId="211"/>
    <cellStyle name="Percent [2]" xfId="212"/>
    <cellStyle name="输出" xfId="213"/>
    <cellStyle name="标题 2 2" xfId="214"/>
    <cellStyle name="检查单元格" xfId="215"/>
    <cellStyle name="_Currency_sensitivity 2001" xfId="216"/>
    <cellStyle name="差" xfId="217"/>
    <cellStyle name="—_GS_Cash  (2)" xfId="218"/>
    <cellStyle name="60% - 强调文字颜色 5" xfId="219"/>
    <cellStyle name="好_201210月材料价格调查季度表格1 2" xfId="220"/>
    <cellStyle name="好_衢州 2_湖州" xfId="221"/>
    <cellStyle name="标题 1" xfId="222"/>
    <cellStyle name="통화_BOILER-CO1" xfId="223"/>
    <cellStyle name="20% - 强调文字颜色 5" xfId="224"/>
    <cellStyle name="Accent3 3" xfId="225"/>
    <cellStyle name="S5" xfId="226"/>
    <cellStyle name="好_湖州" xfId="227"/>
    <cellStyle name="解释性文本" xfId="228"/>
    <cellStyle name="PillarText 2" xfId="229"/>
    <cellStyle name="40% - 强调文字颜色 5" xfId="230"/>
    <cellStyle name="Comma [0]" xfId="231"/>
    <cellStyle name="常规 4 2 2" xfId="232"/>
    <cellStyle name="40% - 强调文字颜色 6" xfId="233"/>
    <cellStyle name="Hyperlink" xfId="234"/>
    <cellStyle name="差 2" xfId="235"/>
    <cellStyle name="Accent5 5" xfId="236"/>
    <cellStyle name="强调文字颜色 5" xfId="237"/>
    <cellStyle name="—_RSA" xfId="238"/>
    <cellStyle name="S9" xfId="239"/>
    <cellStyle name="商品名称" xfId="240"/>
    <cellStyle name="标题 3" xfId="241"/>
    <cellStyle name="—_GS_Balance" xfId="242"/>
    <cellStyle name="警告文本 2" xfId="243"/>
    <cellStyle name="输入_湖州" xfId="244"/>
    <cellStyle name="汇总" xfId="245"/>
    <cellStyle name="Accent6 - 20% 2" xfId="246"/>
    <cellStyle name="20% - 强调文字颜色 1" xfId="247"/>
    <cellStyle name="s]&#13;&#10;load=&#13;&#10;run=&#13;&#10;NullPort=None&#13;&#10;device=HP LaserJet 4 Plus,HPPCL5MS,LPT1:&#13;&#10;&#13;&#10;[Desktop]&#13;&#10;Wallpaper=(无)&#13;&#10;TileWallpaper=0&#13;" xfId="248"/>
    <cellStyle name="Blue" xfId="249"/>
    <cellStyle name="千分位_ 白土" xfId="250"/>
    <cellStyle name="40% - 强调文字颜色 1" xfId="251"/>
    <cellStyle name="差_衢州 2_湖州" xfId="252"/>
    <cellStyle name="警告文本" xfId="253"/>
    <cellStyle name="PSDate" xfId="254"/>
    <cellStyle name="差_金华 2_湖州" xfId="255"/>
    <cellStyle name="差_嘉兴 2_湖州" xfId="256"/>
    <cellStyle name="检查单元格 2" xfId="257"/>
    <cellStyle name="PSInt" xfId="258"/>
    <cellStyle name="Accent4 - 20%" xfId="259"/>
    <cellStyle name="表标题 2" xfId="260"/>
    <cellStyle name="Comma" xfId="261"/>
    <cellStyle name="—_CMHK_2001_revised_overall 052401" xfId="262"/>
    <cellStyle name="常规 8" xfId="263"/>
    <cellStyle name="标题" xfId="264"/>
    <cellStyle name="PillarHeading" xfId="265"/>
    <cellStyle name="40% - 强调文字颜色 4" xfId="266"/>
    <cellStyle name="标题 1 2" xfId="267"/>
    <cellStyle name="差_201210月材料价格调查季度表格1" xfId="268"/>
    <cellStyle name="链接单元格" xfId="269"/>
    <cellStyle name="强调 2" xfId="270"/>
    <cellStyle name="标题 4" xfId="271"/>
    <cellStyle name="20% - 强调文字颜色 2" xfId="272"/>
    <cellStyle name="Notes" xfId="273"/>
    <cellStyle name="Currency [0]" xfId="274"/>
    <cellStyle name="S8 2" xfId="275"/>
    <cellStyle name="注释" xfId="276"/>
    <cellStyle name="60% - 强调文字颜色 3" xfId="277"/>
    <cellStyle name="S4 2" xfId="278"/>
    <cellStyle name="好" xfId="279"/>
    <cellStyle name="Milliers_!!!GO" xfId="280"/>
    <cellStyle name="6mal" xfId="281"/>
    <cellStyle name="适中" xfId="282"/>
    <cellStyle name="计算" xfId="283"/>
    <cellStyle name="Percent_!!!GO" xfId="284"/>
    <cellStyle name="标题 2" xfId="285"/>
    <cellStyle name="Percent" xfId="286"/>
    <cellStyle name="Accent5 - 60%" xfId="287"/>
    <cellStyle name="强调文字颜色 1" xfId="288"/>
    <cellStyle name="PillarText" xfId="289"/>
    <cellStyle name="—_GS_PNL" xfId="290"/>
    <cellStyle name="好_台州 2" xfId="291"/>
    <cellStyle name="_20100326高清市院遂宁检察院1080P配置清单26日改" xfId="292"/>
    <cellStyle name="强调文字颜色 6" xfId="293"/>
    <cellStyle name="60% - 强调文字颜色 1" xfId="294"/>
    <cellStyle name="Accent5 2" xfId="295"/>
    <cellStyle name="S1 2" xfId="296"/>
    <cellStyle name="强调文字颜色 2" xfId="297"/>
    <cellStyle name="样式 1" xfId="298"/>
    <cellStyle name="PillarTotal" xfId="299"/>
    <cellStyle name="t_HVAC Equipment (3)" xfId="300"/>
    <cellStyle name="分级显示列_1_Book1" xfId="301"/>
    <cellStyle name="60% - 强调文字颜色 2" xfId="302"/>
    <cellStyle name="Currency" xfId="303"/>
    <cellStyle name="Accent5 3" xfId="304"/>
    <cellStyle name="强调文字颜色 3" xfId="305"/>
    <cellStyle name="标题 3 2" xfId="306"/>
    <cellStyle name="差_嘉兴" xfId="307"/>
    <cellStyle name="Accent2 - 20%" xfId="308"/>
    <cellStyle name="20% - 强调文字颜色 3" xfId="309"/>
    <cellStyle name="强调 2 2" xfId="310"/>
    <cellStyle name="PSDec" xfId="311"/>
    <cellStyle name="差_湖州 2" xfId="312"/>
    <cellStyle name="好_Book1_Book1 2_湖州" xfId="313"/>
    <cellStyle name="输入" xfId="314"/>
    <cellStyle name="Normal - Style1" xfId="315"/>
    <cellStyle name="40% - 强调文字颜色 3" xfId="316"/>
    <cellStyle name="Accent5 4" xfId="317"/>
    <cellStyle name="强调文字颜色 4" xfId="318"/>
    <cellStyle name="20% - 强调文字颜色 4" xfId="319"/>
    <cellStyle name="s]&#13;&#10;load=c:\cstar20\cstar20.exe&#13;&#10;run=&#13;&#10;device=HP LaserJet 4 Plus,HPPCL5MS,LPT1:&#13;&#10;&#13;&#10;[Desktop]&#13;&#10;Wallpaper=C:\WINDOWS\BLUE" xfId="320"/>
    <cellStyle name="S5 2" xfId="321"/>
    <cellStyle name="常规 3" xfId="322"/>
    <cellStyle name="S6 2" xfId="323"/>
    <cellStyle name="S7 2" xfId="324"/>
    <cellStyle name="常规_Sheet1" xfId="325"/>
    <cellStyle name="S8" xfId="326"/>
    <cellStyle name="S9 2" xfId="327"/>
    <cellStyle name="sMECfcE101A" xfId="328"/>
    <cellStyle name="sMECfN102A" xfId="329"/>
    <cellStyle name="Standard_AREAS" xfId="330"/>
    <cellStyle name="捠壿_Region Orders (2)" xfId="331"/>
    <cellStyle name="标题 4 2" xfId="332"/>
    <cellStyle name="差_金华" xfId="333"/>
    <cellStyle name="Pourcentage_pldt" xfId="334"/>
    <cellStyle name="好_湖州 2" xfId="335"/>
    <cellStyle name="解释性文本 2" xfId="336"/>
    <cellStyle name="标题 5" xfId="337"/>
    <cellStyle name="Accent5 - 60% 2" xfId="338"/>
    <cellStyle name="标题1" xfId="339"/>
    <cellStyle name="部门" xfId="340"/>
    <cellStyle name="差_201210月材料价格调查季度表格1 2_湖州" xfId="341"/>
    <cellStyle name="差_Book1" xfId="342"/>
    <cellStyle name="借出原因" xfId="343"/>
    <cellStyle name="差_Book1_Book1 2_湖州" xfId="344"/>
    <cellStyle name="差_湖州 2_湖州" xfId="345"/>
    <cellStyle name="Accent3" xfId="346"/>
    <cellStyle name="_ET_STYLE_NoName_00__Sheet3" xfId="347"/>
    <cellStyle name="差_金华 2" xfId="348"/>
    <cellStyle name="Accent1 4" xfId="349"/>
    <cellStyle name="Milliers [0]_!!!GO" xfId="350"/>
    <cellStyle name="差_衢州" xfId="351"/>
    <cellStyle name="差_台州" xfId="352"/>
    <cellStyle name="差_台州 2" xfId="353"/>
    <cellStyle name="常规 7" xfId="354"/>
    <cellStyle name="好_衢州" xfId="355"/>
    <cellStyle name="好_金华 2" xfId="356"/>
    <cellStyle name="注释_湖州" xfId="357"/>
    <cellStyle name="适中_湖州" xfId="358"/>
    <cellStyle name="计算_湖州" xfId="359"/>
    <cellStyle name="好_Book1_Book1" xfId="360"/>
    <cellStyle name="烹拳_97MBO" xfId="361"/>
    <cellStyle name="寘嬫愗傝 [0.00]_Region Orders (2)" xfId="362"/>
    <cellStyle name="常规 9" xfId="363"/>
    <cellStyle name="통화 [0]_BOILER-CO1" xfId="364"/>
    <cellStyle name="콤마 [0]_BOILER-CO1" xfId="365"/>
    <cellStyle name="常规 2 2_湖州" xfId="366"/>
    <cellStyle name="常规 2 2 2 2 2" xfId="367"/>
    <cellStyle name="好_嘉兴 2_湖州" xfId="368"/>
    <cellStyle name="适中 2" xfId="369"/>
    <cellStyle name="千分位[0]_ 白土" xfId="370"/>
    <cellStyle name="Sheet Head" xfId="371"/>
    <cellStyle name="常规 2 2" xfId="372"/>
    <cellStyle name="强调 3 2" xfId="373"/>
    <cellStyle name="日期" xfId="374"/>
    <cellStyle name="好_金华" xfId="375"/>
    <cellStyle name="检查单元格_湖州" xfId="376"/>
    <cellStyle name="霓付_97MBO" xfId="377"/>
    <cellStyle name="千位[0]_ 方正PC" xfId="378"/>
    <cellStyle name="常规 4" xfId="379"/>
    <cellStyle name="常规 5" xfId="380"/>
    <cellStyle name="常规 5 2" xfId="381"/>
    <cellStyle name="好 2" xfId="382"/>
    <cellStyle name="好_Book1" xfId="383"/>
    <cellStyle name="烹拳 [0]_97MBO" xfId="384"/>
    <cellStyle name="输出 2" xfId="385"/>
    <cellStyle name="输出_湖州" xfId="386"/>
    <cellStyle name="寘嬫愗傝_Region Orders (2)" xfId="387"/>
    <cellStyle name="好_201210月材料价格调查季度表格1" xfId="388"/>
    <cellStyle name="好_Book1_Book1 2" xfId="389"/>
    <cellStyle name="好_嘉兴" xfId="390"/>
    <cellStyle name="常规 6 2" xfId="391"/>
    <cellStyle name="표준_0N-HANDLING " xfId="392"/>
    <cellStyle name="—_CMHK_2001" xfId="393"/>
    <cellStyle name="计算 2" xfId="394"/>
    <cellStyle name="钎霖_laroux" xfId="395"/>
    <cellStyle name="普通_ 白土" xfId="396"/>
    <cellStyle name="霓付 [0]_97MBO" xfId="397"/>
    <cellStyle name="千位_ 方正PC" xfId="398"/>
    <cellStyle name="强调 1 2" xfId="399"/>
    <cellStyle name="输入 2" xfId="400"/>
    <cellStyle name="注释 2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Documents%20and%20Settings/hp/&#26700;&#38754;/13&#30465;&#36947;&#31532;1&#21512;&#21516;&#20013;&#26399;&#35745;&#37327;&#21021;&#23457;&#24847;&#35265;/&#26446;&#21191;/&#35745;&#37327;/13&#26399;&#35745;&#37327;/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Documents%20and%20Settings/hp/&#26700;&#38754;/13&#30465;&#36947;&#31532;1&#21512;&#21516;&#20013;&#26399;&#35745;&#37327;&#21021;&#23457;&#24847;&#35265;/1&#35745;&#37327;computation/&#27491;&#24335;&#35745;&#37327;/&#31532;32&#26399;&#35745;&#37327;/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Documents%20and%20Settings/hp/&#26700;&#38754;/13&#30465;&#36947;&#31532;1&#21512;&#21516;&#20013;&#26399;&#35745;&#37327;&#21021;&#23457;&#24847;&#35265;/&#35745;&#37327;&#31185;&#25991;&#20214;/&#20013;&#38388;&#35745;&#37327;&#25903;&#20184;&#25253;&#34920;/&#27491;&#24335;&#35745;&#37327;&#36164;&#26009;/09-10/&#26242;&#35745;&#24037;&#31243;001/&#26729;&#22522;01/&#24037;&#20316;&#30446;&#24405;/&#26477;&#28006;&#39640;&#36895;&#20844;&#36335;/&#35745;&#37327;&#25903;&#20184;/&#26477;&#28006;6&#21512;&#21516;/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&#26700;&#38754;/&#25253;&#21578;/&#29289;&#27969;&#30721;&#22836;/&#24037;&#31243;&#37327;/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&#26753;&#20426;/&#35745;&#37327;computation/&#27491;&#24335;&#35745;&#37327;/24&#26399;&#35745;&#37327;/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19"/>
      <c r="C3" s="19"/>
      <c r="D3" s="19"/>
      <c r="E3" s="19"/>
      <c r="F3" s="19"/>
      <c r="G3" s="19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6" t="s">
        <v>13</v>
      </c>
      <c r="S4" s="9"/>
    </row>
    <row r="5" spans="1:19" ht="27.75" customHeight="1">
      <c r="A5" s="53"/>
      <c r="B5" s="53"/>
      <c r="C5" s="108"/>
      <c r="D5" s="109"/>
      <c r="E5" s="53"/>
      <c r="F5" s="53"/>
      <c r="G5" s="53"/>
      <c r="H5" s="6" t="s">
        <v>14</v>
      </c>
      <c r="I5" s="6" t="s">
        <v>15</v>
      </c>
      <c r="J5" s="6" t="s">
        <v>14</v>
      </c>
      <c r="K5" s="6" t="s">
        <v>15</v>
      </c>
      <c r="L5" s="6" t="s">
        <v>14</v>
      </c>
      <c r="M5" s="6" t="s">
        <v>15</v>
      </c>
      <c r="N5" s="6" t="s">
        <v>14</v>
      </c>
      <c r="O5" s="6" t="s">
        <v>15</v>
      </c>
      <c r="P5" s="6" t="s">
        <v>14</v>
      </c>
      <c r="Q5" s="6" t="s">
        <v>15</v>
      </c>
      <c r="R5" s="6" t="s">
        <v>14</v>
      </c>
      <c r="S5" s="6" t="s">
        <v>15</v>
      </c>
    </row>
    <row r="6" spans="1:19" s="104" customFormat="1" ht="23.25" customHeight="1">
      <c r="A6" s="53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7" t="s">
        <v>21</v>
      </c>
      <c r="H6" s="22">
        <f>'杭州1'!T36</f>
        <v>2199.6000000000004</v>
      </c>
      <c r="I6" s="22">
        <f>'杭州1'!U36</f>
        <v>2263.044</v>
      </c>
      <c r="J6" s="22">
        <f>'宁波1'!T38</f>
        <v>2253.2000000000003</v>
      </c>
      <c r="K6" s="22">
        <f>'宁波1'!U38</f>
        <v>2317.448</v>
      </c>
      <c r="L6" s="22">
        <f>'温州1'!W36</f>
        <v>2314</v>
      </c>
      <c r="M6" s="22">
        <f>'温州1'!X36</f>
        <v>2379.16</v>
      </c>
      <c r="N6" s="22">
        <f>'嘉兴11'!AC6</f>
        <v>2136.8</v>
      </c>
      <c r="O6" s="22">
        <f>'嘉兴11'!AD6</f>
        <v>2196.2569999999996</v>
      </c>
      <c r="P6" s="22" t="e">
        <f>'湖州11'!W5</f>
        <v>#REF!</v>
      </c>
      <c r="Q6" s="22" t="e">
        <f>'湖州11'!X5</f>
        <v>#REF!</v>
      </c>
      <c r="R6" s="22" t="e">
        <f>'绍兴11'!Q35</f>
        <v>#REF!</v>
      </c>
      <c r="S6" s="22" t="e">
        <f>'绍兴11'!R35</f>
        <v>#REF!</v>
      </c>
    </row>
    <row r="7" spans="1:24" ht="26.25" customHeight="1">
      <c r="A7" s="53">
        <v>2</v>
      </c>
      <c r="B7" s="9"/>
      <c r="C7" s="9"/>
      <c r="D7" s="10" t="s">
        <v>22</v>
      </c>
      <c r="E7" s="9"/>
      <c r="F7" s="10" t="s">
        <v>23</v>
      </c>
      <c r="G7" s="9" t="s">
        <v>21</v>
      </c>
      <c r="H7" s="30">
        <f>'杭州1'!T37</f>
        <v>2162</v>
      </c>
      <c r="I7" s="30">
        <f>'杭州1'!U37</f>
        <v>2224.8799999999997</v>
      </c>
      <c r="J7" s="30">
        <f>'宁波1'!T39</f>
        <v>2251</v>
      </c>
      <c r="K7" s="30">
        <f>'宁波1'!U39</f>
        <v>2315.2149999999997</v>
      </c>
      <c r="L7" s="30">
        <f>'温州1'!W37</f>
        <v>2314</v>
      </c>
      <c r="M7" s="30">
        <f>'温州1'!X37</f>
        <v>2379.16</v>
      </c>
      <c r="N7" s="30">
        <f>'嘉兴11'!AC7</f>
        <v>2130</v>
      </c>
      <c r="O7" s="30">
        <f>'嘉兴11'!AD7</f>
        <v>2189.3549999999996</v>
      </c>
      <c r="P7" s="30" t="e">
        <f>'湖州11'!W6</f>
        <v>#REF!</v>
      </c>
      <c r="Q7" s="30" t="e">
        <f>'湖州11'!X6</f>
        <v>#REF!</v>
      </c>
      <c r="R7" s="30" t="e">
        <f>'绍兴11'!Q36</f>
        <v>#REF!</v>
      </c>
      <c r="S7" s="30" t="e">
        <f>'绍兴11'!R36</f>
        <v>#REF!</v>
      </c>
      <c r="X7" s="400"/>
    </row>
    <row r="8" spans="1:24" ht="12" customHeight="1">
      <c r="A8" s="53">
        <v>3</v>
      </c>
      <c r="B8" s="9"/>
      <c r="C8" s="9"/>
      <c r="D8" s="10" t="s">
        <v>24</v>
      </c>
      <c r="E8" s="9"/>
      <c r="F8" s="10" t="s">
        <v>25</v>
      </c>
      <c r="G8" s="9" t="s">
        <v>21</v>
      </c>
      <c r="H8" s="30">
        <f>'杭州1'!T38</f>
        <v>2350</v>
      </c>
      <c r="I8" s="30">
        <f>'杭州1'!U38</f>
        <v>2415.7</v>
      </c>
      <c r="J8" s="30">
        <f>'宁波1'!T40</f>
        <v>2262</v>
      </c>
      <c r="K8" s="30">
        <f>'宁波1'!U40</f>
        <v>2326.3799999999997</v>
      </c>
      <c r="L8" s="30">
        <f>'温州1'!W38</f>
        <v>2314</v>
      </c>
      <c r="M8" s="30">
        <f>'温州1'!X38</f>
        <v>2379.16</v>
      </c>
      <c r="N8" s="30">
        <f>'嘉兴11'!AC8</f>
        <v>2164</v>
      </c>
      <c r="O8" s="30">
        <f>'嘉兴11'!AD8</f>
        <v>2223.865</v>
      </c>
      <c r="P8" s="30" t="e">
        <f>'湖州11'!W7</f>
        <v>#REF!</v>
      </c>
      <c r="Q8" s="30" t="e">
        <f>'湖州11'!X7</f>
        <v>#REF!</v>
      </c>
      <c r="R8" s="30" t="e">
        <f>'绍兴11'!Q37</f>
        <v>#REF!</v>
      </c>
      <c r="S8" s="30" t="e">
        <f>'绍兴11'!R37</f>
        <v>#REF!</v>
      </c>
      <c r="X8" s="400"/>
    </row>
    <row r="9" spans="1:24" s="104" customFormat="1" ht="36" customHeight="1">
      <c r="A9" s="53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7" t="s">
        <v>21</v>
      </c>
      <c r="H9" s="22">
        <f>'杭州1'!T39</f>
        <v>1986.8200000000002</v>
      </c>
      <c r="I9" s="22">
        <f>'杭州1'!U39</f>
        <v>2047.0723</v>
      </c>
      <c r="J9" s="22">
        <f>'宁波1'!T41</f>
        <v>2113.8</v>
      </c>
      <c r="K9" s="22">
        <f>'宁波1'!U41</f>
        <v>2175.957</v>
      </c>
      <c r="L9" s="22">
        <f>'温州1'!W39</f>
        <v>2111.4</v>
      </c>
      <c r="M9" s="22">
        <f>'温州1'!X39</f>
        <v>2173.5209999999997</v>
      </c>
      <c r="N9" s="22">
        <f>'嘉兴11'!AC9</f>
        <v>1920.7</v>
      </c>
      <c r="O9" s="22">
        <f>'嘉兴11'!AD9</f>
        <v>1976.9154999999998</v>
      </c>
      <c r="P9" s="22" t="e">
        <f>'湖州11'!W8</f>
        <v>#REF!</v>
      </c>
      <c r="Q9" s="22" t="e">
        <f>'湖州11'!X8</f>
        <v>#REF!</v>
      </c>
      <c r="R9" s="22" t="e">
        <f>'绍兴11'!Q38</f>
        <v>#REF!</v>
      </c>
      <c r="S9" s="22" t="e">
        <f>'绍兴11'!R38</f>
        <v>#REF!</v>
      </c>
      <c r="X9" s="400"/>
    </row>
    <row r="10" spans="1:24" ht="12" customHeight="1">
      <c r="A10" s="53">
        <v>5</v>
      </c>
      <c r="B10" s="9"/>
      <c r="C10" s="9"/>
      <c r="D10" s="10" t="s">
        <v>29</v>
      </c>
      <c r="E10" s="9"/>
      <c r="F10" s="10" t="s">
        <v>30</v>
      </c>
      <c r="G10" s="9" t="s">
        <v>21</v>
      </c>
      <c r="H10" s="30">
        <f>'杭州1'!T40</f>
        <v>2230</v>
      </c>
      <c r="I10" s="30">
        <f>'杭州1'!U40</f>
        <v>2293.8999999999996</v>
      </c>
      <c r="J10" s="30">
        <f>'宁波1'!T42</f>
        <v>2196</v>
      </c>
      <c r="K10" s="30">
        <f>'宁波1'!U42</f>
        <v>2259.39</v>
      </c>
      <c r="L10" s="30">
        <f>'温州1'!W40</f>
        <v>2238</v>
      </c>
      <c r="M10" s="30">
        <f>'温州1'!X40</f>
        <v>2302.02</v>
      </c>
      <c r="N10" s="30">
        <f>'嘉兴11'!AC10</f>
        <v>1940</v>
      </c>
      <c r="O10" s="30">
        <f>'嘉兴11'!AD10</f>
        <v>1996.5049999999999</v>
      </c>
      <c r="P10" s="30" t="e">
        <f>'湖州11'!W9</f>
        <v>#REF!</v>
      </c>
      <c r="Q10" s="30" t="e">
        <f>'湖州11'!X9</f>
        <v>#REF!</v>
      </c>
      <c r="R10" s="30" t="e">
        <f>'绍兴11'!Q39</f>
        <v>#REF!</v>
      </c>
      <c r="S10" s="30" t="e">
        <f>'绍兴11'!R39</f>
        <v>#REF!</v>
      </c>
      <c r="X10" s="400"/>
    </row>
    <row r="11" spans="1:24" ht="12" customHeight="1">
      <c r="A11" s="53">
        <v>6</v>
      </c>
      <c r="B11" s="9"/>
      <c r="C11" s="9"/>
      <c r="D11" s="10" t="s">
        <v>29</v>
      </c>
      <c r="E11" s="9"/>
      <c r="F11" s="10" t="s">
        <v>31</v>
      </c>
      <c r="G11" s="9" t="s">
        <v>21</v>
      </c>
      <c r="H11" s="30">
        <f>'杭州1'!T41</f>
        <v>2042</v>
      </c>
      <c r="I11" s="30">
        <f>'杭州1'!U41</f>
        <v>2103.08</v>
      </c>
      <c r="J11" s="30">
        <f>'宁波1'!T43</f>
        <v>2186</v>
      </c>
      <c r="K11" s="30">
        <f>'宁波1'!U43</f>
        <v>2249.24</v>
      </c>
      <c r="L11" s="30">
        <f>'温州1'!W41</f>
        <v>2168</v>
      </c>
      <c r="M11" s="30">
        <f>'温州1'!X41</f>
        <v>2230.97</v>
      </c>
      <c r="N11" s="30">
        <f>'嘉兴11'!AC11</f>
        <v>1930</v>
      </c>
      <c r="O11" s="30">
        <f>'嘉兴11'!AD11</f>
        <v>1986.3549999999998</v>
      </c>
      <c r="P11" s="30" t="e">
        <f>'湖州11'!W10</f>
        <v>#REF!</v>
      </c>
      <c r="Q11" s="30" t="e">
        <f>'湖州11'!X10</f>
        <v>#REF!</v>
      </c>
      <c r="R11" s="30" t="e">
        <f>'绍兴11'!Q40</f>
        <v>#REF!</v>
      </c>
      <c r="S11" s="30" t="e">
        <f>'绍兴11'!R40</f>
        <v>#REF!</v>
      </c>
      <c r="X11" s="400"/>
    </row>
    <row r="12" spans="1:24" ht="12" customHeight="1">
      <c r="A12" s="53">
        <v>7</v>
      </c>
      <c r="B12" s="9"/>
      <c r="C12" s="9"/>
      <c r="D12" s="10" t="s">
        <v>29</v>
      </c>
      <c r="E12" s="9"/>
      <c r="F12" s="10" t="s">
        <v>32</v>
      </c>
      <c r="G12" s="9" t="s">
        <v>21</v>
      </c>
      <c r="H12" s="30">
        <f>'杭州1'!T42</f>
        <v>1876</v>
      </c>
      <c r="I12" s="30">
        <f>'杭州1'!U42</f>
        <v>1934.59</v>
      </c>
      <c r="J12" s="30">
        <f>'宁波1'!T44</f>
        <v>2036</v>
      </c>
      <c r="K12" s="30">
        <f>'宁波1'!U44</f>
        <v>2096.99</v>
      </c>
      <c r="L12" s="30">
        <f>'温州1'!W42</f>
        <v>1998</v>
      </c>
      <c r="M12" s="30">
        <f>'温州1'!X42</f>
        <v>2058.4199999999996</v>
      </c>
      <c r="N12" s="30">
        <f>'嘉兴11'!AC12</f>
        <v>1930</v>
      </c>
      <c r="O12" s="30">
        <f>'嘉兴11'!AD12</f>
        <v>1986.3549999999998</v>
      </c>
      <c r="P12" s="30" t="e">
        <f>'湖州11'!W11</f>
        <v>#REF!</v>
      </c>
      <c r="Q12" s="30" t="e">
        <f>'湖州11'!X11</f>
        <v>#REF!</v>
      </c>
      <c r="R12" s="30" t="e">
        <f>'绍兴11'!Q41</f>
        <v>#REF!</v>
      </c>
      <c r="S12" s="30" t="e">
        <f>'绍兴11'!R41</f>
        <v>#REF!</v>
      </c>
      <c r="X12" s="400"/>
    </row>
    <row r="13" spans="1:24" ht="12" customHeight="1">
      <c r="A13" s="53">
        <v>8</v>
      </c>
      <c r="B13" s="9"/>
      <c r="C13" s="9"/>
      <c r="D13" s="10" t="s">
        <v>29</v>
      </c>
      <c r="E13" s="9"/>
      <c r="F13" s="10" t="s">
        <v>33</v>
      </c>
      <c r="G13" s="9" t="s">
        <v>21</v>
      </c>
      <c r="H13" s="30">
        <f>'杭州1'!T43</f>
        <v>1992</v>
      </c>
      <c r="I13" s="30">
        <f>'杭州1'!U43</f>
        <v>2052.33</v>
      </c>
      <c r="J13" s="30">
        <f>'宁波1'!T45</f>
        <v>2086</v>
      </c>
      <c r="K13" s="30">
        <f>'宁波1'!U45</f>
        <v>2147.74</v>
      </c>
      <c r="L13" s="30">
        <f>'温州1'!W43</f>
        <v>2128</v>
      </c>
      <c r="M13" s="30">
        <f>'温州1'!X43</f>
        <v>2190.37</v>
      </c>
      <c r="N13" s="30">
        <f>'嘉兴11'!AC13</f>
        <v>1900</v>
      </c>
      <c r="O13" s="30">
        <f>'嘉兴11'!AD13</f>
        <v>1955.9049999999997</v>
      </c>
      <c r="P13" s="30" t="e">
        <f>'湖州11'!W12</f>
        <v>#REF!</v>
      </c>
      <c r="Q13" s="30" t="e">
        <f>'湖州11'!X12</f>
        <v>#REF!</v>
      </c>
      <c r="R13" s="30" t="e">
        <f>'绍兴11'!Q42</f>
        <v>#REF!</v>
      </c>
      <c r="S13" s="30" t="e">
        <f>'绍兴11'!R42</f>
        <v>#REF!</v>
      </c>
      <c r="X13" s="400"/>
    </row>
    <row r="14" spans="1:24" s="104" customFormat="1" ht="24" customHeight="1">
      <c r="A14" s="53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7" t="s">
        <v>21</v>
      </c>
      <c r="H14" s="22">
        <f>'杭州1'!T44</f>
        <v>2246.3</v>
      </c>
      <c r="I14" s="22">
        <f>'杭州1'!U44</f>
        <v>2310.4445</v>
      </c>
      <c r="J14" s="22">
        <f>'宁波1'!T46</f>
        <v>2166.1600000000003</v>
      </c>
      <c r="K14" s="22">
        <f>'宁波1'!U46</f>
        <v>2229.1024</v>
      </c>
      <c r="L14" s="22">
        <f>'温州1'!W44</f>
        <v>2296.3</v>
      </c>
      <c r="M14" s="22">
        <f>'温州1'!X44</f>
        <v>2361.1944999999996</v>
      </c>
      <c r="N14" s="22">
        <f>'嘉兴11'!AC14</f>
        <v>2246.3</v>
      </c>
      <c r="O14" s="22">
        <f>'嘉兴11'!AD14</f>
        <v>2307.3995</v>
      </c>
      <c r="P14" s="22" t="e">
        <f>'湖州11'!W13</f>
        <v>#REF!</v>
      </c>
      <c r="Q14" s="22" t="e">
        <f>'湖州11'!X13</f>
        <v>#REF!</v>
      </c>
      <c r="R14" s="22" t="e">
        <f>'绍兴11'!Q43</f>
        <v>#REF!</v>
      </c>
      <c r="S14" s="22" t="e">
        <f>'绍兴11'!R43</f>
        <v>#REF!</v>
      </c>
      <c r="X14" s="400"/>
    </row>
    <row r="15" spans="1:24" ht="12" customHeight="1">
      <c r="A15" s="53">
        <v>10</v>
      </c>
      <c r="B15" s="9"/>
      <c r="C15" s="9"/>
      <c r="D15" s="10" t="s">
        <v>37</v>
      </c>
      <c r="E15" s="9"/>
      <c r="F15" s="13" t="s">
        <v>38</v>
      </c>
      <c r="G15" s="9" t="s">
        <v>21</v>
      </c>
      <c r="H15" s="30">
        <f>'杭州1'!T45</f>
        <v>2200</v>
      </c>
      <c r="I15" s="30">
        <f>'杭州1'!U45</f>
        <v>2263.45</v>
      </c>
      <c r="J15" s="30">
        <f>'宁波1'!T47</f>
        <v>2105</v>
      </c>
      <c r="K15" s="30">
        <f>'宁波1'!U47</f>
        <v>2167.0249999999996</v>
      </c>
      <c r="L15" s="30">
        <f>'温州1'!W45</f>
        <v>2250</v>
      </c>
      <c r="M15" s="30">
        <f>'温州1'!X45</f>
        <v>2314.2</v>
      </c>
      <c r="N15" s="30">
        <f>'嘉兴11'!AC15</f>
        <v>2200</v>
      </c>
      <c r="O15" s="30">
        <f>'嘉兴11'!AD15</f>
        <v>2260.4049999999997</v>
      </c>
      <c r="P15" s="30" t="e">
        <f>'湖州11'!W14</f>
        <v>#REF!</v>
      </c>
      <c r="Q15" s="30" t="e">
        <f>'湖州11'!X14</f>
        <v>#REF!</v>
      </c>
      <c r="R15" s="30" t="e">
        <f>'绍兴11'!Q44</f>
        <v>#REF!</v>
      </c>
      <c r="S15" s="30" t="e">
        <f>'绍兴11'!R44</f>
        <v>#REF!</v>
      </c>
      <c r="X15" s="400"/>
    </row>
    <row r="16" spans="1:24" ht="12" customHeight="1">
      <c r="A16" s="53">
        <v>11</v>
      </c>
      <c r="B16" s="9"/>
      <c r="C16" s="9"/>
      <c r="D16" s="10" t="s">
        <v>39</v>
      </c>
      <c r="E16" s="9"/>
      <c r="F16" s="13" t="s">
        <v>40</v>
      </c>
      <c r="G16" s="9" t="s">
        <v>21</v>
      </c>
      <c r="H16" s="30">
        <f>'杭州1'!T46</f>
        <v>2270</v>
      </c>
      <c r="I16" s="30">
        <f>'杭州1'!U46</f>
        <v>2334.5</v>
      </c>
      <c r="J16" s="30">
        <f>'宁波1'!T48</f>
        <v>2185</v>
      </c>
      <c r="K16" s="30">
        <f>'宁波1'!U48</f>
        <v>2248.225</v>
      </c>
      <c r="L16" s="30">
        <f>'温州1'!W46</f>
        <v>2320</v>
      </c>
      <c r="M16" s="30">
        <f>'温州1'!X46</f>
        <v>2385.2499999999995</v>
      </c>
      <c r="N16" s="30">
        <f>'嘉兴11'!AC16</f>
        <v>2270</v>
      </c>
      <c r="O16" s="30">
        <f>'嘉兴11'!AD16</f>
        <v>2331.455</v>
      </c>
      <c r="P16" s="30" t="e">
        <f>'湖州11'!W15</f>
        <v>#REF!</v>
      </c>
      <c r="Q16" s="30" t="e">
        <f>'湖州11'!X15</f>
        <v>#REF!</v>
      </c>
      <c r="R16" s="30" t="e">
        <f>'绍兴11'!Q45</f>
        <v>#REF!</v>
      </c>
      <c r="S16" s="30" t="e">
        <f>'绍兴11'!R45</f>
        <v>#REF!</v>
      </c>
      <c r="X16" s="400"/>
    </row>
    <row r="17" spans="1:24" ht="12" customHeight="1">
      <c r="A17" s="53">
        <v>12</v>
      </c>
      <c r="B17" s="9"/>
      <c r="C17" s="9"/>
      <c r="D17" s="10" t="s">
        <v>41</v>
      </c>
      <c r="E17" s="9"/>
      <c r="F17" s="13" t="s">
        <v>42</v>
      </c>
      <c r="G17" s="9" t="s">
        <v>21</v>
      </c>
      <c r="H17" s="30">
        <f>'杭州1'!T47</f>
        <v>2190</v>
      </c>
      <c r="I17" s="30">
        <f>'杭州1'!U47</f>
        <v>2253.2999999999997</v>
      </c>
      <c r="J17" s="30">
        <f>'宁波1'!T49</f>
        <v>2155</v>
      </c>
      <c r="K17" s="30">
        <f>'宁波1'!U49</f>
        <v>2217.7749999999996</v>
      </c>
      <c r="L17" s="30">
        <f>'温州1'!W47</f>
        <v>2240</v>
      </c>
      <c r="M17" s="30">
        <f>'温州1'!X47</f>
        <v>2304.0499999999997</v>
      </c>
      <c r="N17" s="30">
        <f>'嘉兴11'!AC17</f>
        <v>2190</v>
      </c>
      <c r="O17" s="30">
        <f>'嘉兴11'!AD17</f>
        <v>2250.2549999999997</v>
      </c>
      <c r="P17" s="30" t="e">
        <f>'湖州11'!W16</f>
        <v>#REF!</v>
      </c>
      <c r="Q17" s="30" t="e">
        <f>'湖州11'!X16</f>
        <v>#REF!</v>
      </c>
      <c r="R17" s="30" t="e">
        <f>'绍兴11'!Q46</f>
        <v>#REF!</v>
      </c>
      <c r="S17" s="30" t="e">
        <f>'绍兴11'!R46</f>
        <v>#REF!</v>
      </c>
      <c r="X17" s="400"/>
    </row>
    <row r="18" spans="1:24" ht="12" customHeight="1">
      <c r="A18" s="53">
        <v>13</v>
      </c>
      <c r="B18" s="9"/>
      <c r="C18" s="6" t="s">
        <v>43</v>
      </c>
      <c r="D18" s="9"/>
      <c r="E18" s="9">
        <v>183</v>
      </c>
      <c r="F18" s="13" t="s">
        <v>44</v>
      </c>
      <c r="G18" s="9" t="s">
        <v>21</v>
      </c>
      <c r="H18" s="30">
        <f>'杭州1'!T48</f>
        <v>2173</v>
      </c>
      <c r="I18" s="30">
        <f>'杭州1'!U48</f>
        <v>2236.0449999999996</v>
      </c>
      <c r="J18" s="30">
        <f>'宁波1'!T50</f>
        <v>2231</v>
      </c>
      <c r="K18" s="30">
        <f>'宁波1'!U50</f>
        <v>2294.915</v>
      </c>
      <c r="L18" s="30">
        <f>'温州1'!W48</f>
        <v>2204</v>
      </c>
      <c r="M18" s="30">
        <f>'温州1'!X48</f>
        <v>2267.5099999999998</v>
      </c>
      <c r="N18" s="30">
        <f>'嘉兴11'!AC18</f>
        <v>2077</v>
      </c>
      <c r="O18" s="30">
        <f>'嘉兴11'!AD18</f>
        <v>2135.56</v>
      </c>
      <c r="P18" s="30" t="e">
        <f>'湖州11'!W17</f>
        <v>#REF!</v>
      </c>
      <c r="Q18" s="30" t="e">
        <f>'湖州11'!X17</f>
        <v>#REF!</v>
      </c>
      <c r="R18" s="30" t="e">
        <f>'绍兴11'!Q47</f>
        <v>#REF!</v>
      </c>
      <c r="S18" s="30" t="e">
        <f>'绍兴11'!R47</f>
        <v>#REF!</v>
      </c>
      <c r="X18" s="400"/>
    </row>
    <row r="19" spans="1:24" s="104" customFormat="1" ht="22.5" customHeight="1">
      <c r="A19" s="5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7" t="s">
        <v>21</v>
      </c>
      <c r="H19" s="22">
        <f>'杭州1'!T49</f>
        <v>2390</v>
      </c>
      <c r="I19" s="22">
        <f>'杭州1'!U49</f>
        <v>2456.2999999999993</v>
      </c>
      <c r="J19" s="22">
        <f>'宁波1'!T51</f>
        <v>2388.6000000000004</v>
      </c>
      <c r="K19" s="22">
        <f>'宁波1'!U51</f>
        <v>2454.879</v>
      </c>
      <c r="L19" s="22">
        <f>'温州1'!W49</f>
        <v>2584</v>
      </c>
      <c r="M19" s="22">
        <f>'温州1'!X49</f>
        <v>2653.2099999999996</v>
      </c>
      <c r="N19" s="22">
        <f>'嘉兴11'!AC19</f>
        <v>2379.6</v>
      </c>
      <c r="O19" s="22">
        <f>'嘉兴11'!AD19</f>
        <v>2442.6989999999996</v>
      </c>
      <c r="P19" s="22" t="e">
        <f>'湖州11'!W18</f>
        <v>#REF!</v>
      </c>
      <c r="Q19" s="22" t="e">
        <f>'湖州11'!X18</f>
        <v>#REF!</v>
      </c>
      <c r="R19" s="22" t="e">
        <f>'绍兴11'!Q48</f>
        <v>#REF!</v>
      </c>
      <c r="S19" s="22" t="e">
        <f>'绍兴11'!R48</f>
        <v>#REF!</v>
      </c>
      <c r="X19" s="400"/>
    </row>
    <row r="20" spans="1:24" ht="12" customHeight="1">
      <c r="A20" s="53">
        <v>15</v>
      </c>
      <c r="B20" s="9"/>
      <c r="C20" s="9"/>
      <c r="D20" s="10" t="s">
        <v>48</v>
      </c>
      <c r="E20" s="25"/>
      <c r="F20" s="10" t="s">
        <v>49</v>
      </c>
      <c r="G20" s="9" t="s">
        <v>21</v>
      </c>
      <c r="H20" s="30">
        <f>'杭州1'!T50</f>
        <v>2284</v>
      </c>
      <c r="I20" s="30">
        <f>'杭州1'!U50</f>
        <v>2348.7099999999996</v>
      </c>
      <c r="J20" s="30">
        <f>'宁波1'!T52</f>
        <v>2205</v>
      </c>
      <c r="K20" s="30">
        <f>'宁波1'!U52</f>
        <v>2268.5249999999996</v>
      </c>
      <c r="L20" s="30">
        <f>'温州1'!W50</f>
        <v>2434</v>
      </c>
      <c r="M20" s="30">
        <f>'温州1'!X50</f>
        <v>2500.9599999999996</v>
      </c>
      <c r="N20" s="30">
        <f>'嘉兴11'!AC20</f>
        <v>2192</v>
      </c>
      <c r="O20" s="30">
        <f>'嘉兴11'!AD20</f>
        <v>2252.285</v>
      </c>
      <c r="P20" s="30" t="e">
        <f>'湖州11'!W19</f>
        <v>#REF!</v>
      </c>
      <c r="Q20" s="30" t="e">
        <f>'湖州11'!X19</f>
        <v>#REF!</v>
      </c>
      <c r="R20" s="30" t="e">
        <f>'绍兴11'!Q49</f>
        <v>#REF!</v>
      </c>
      <c r="S20" s="30" t="e">
        <f>'绍兴11'!R49</f>
        <v>#REF!</v>
      </c>
      <c r="X20" s="400"/>
    </row>
    <row r="21" spans="1:24" ht="12" customHeight="1">
      <c r="A21" s="53">
        <v>16</v>
      </c>
      <c r="B21" s="9"/>
      <c r="C21" s="9"/>
      <c r="D21" s="10" t="s">
        <v>50</v>
      </c>
      <c r="E21" s="25">
        <v>192</v>
      </c>
      <c r="F21" s="10" t="s">
        <v>51</v>
      </c>
      <c r="G21" s="9" t="s">
        <v>21</v>
      </c>
      <c r="H21" s="30">
        <f>'杭州1'!T51</f>
        <v>2458</v>
      </c>
      <c r="I21" s="30">
        <f>'杭州1'!U51</f>
        <v>2525.3199999999997</v>
      </c>
      <c r="J21" s="30">
        <f>'宁波1'!T53</f>
        <v>2517</v>
      </c>
      <c r="K21" s="30">
        <f>'宁波1'!U53</f>
        <v>2585.205</v>
      </c>
      <c r="L21" s="30">
        <f>'温州1'!W51</f>
        <v>2608</v>
      </c>
      <c r="M21" s="30">
        <f>'温州1'!X51</f>
        <v>2677.5699999999997</v>
      </c>
      <c r="N21" s="30">
        <f>'嘉兴11'!AC21</f>
        <v>2682</v>
      </c>
      <c r="O21" s="30">
        <f>'嘉兴11'!AD21</f>
        <v>2749.6349999999998</v>
      </c>
      <c r="P21" s="30" t="e">
        <f>'湖州11'!W20</f>
        <v>#REF!</v>
      </c>
      <c r="Q21" s="30" t="e">
        <f>'湖州11'!X20</f>
        <v>#REF!</v>
      </c>
      <c r="R21" s="30" t="e">
        <f>'绍兴11'!Q50</f>
        <v>#REF!</v>
      </c>
      <c r="S21" s="30" t="e">
        <f>'绍兴11'!R50</f>
        <v>#REF!</v>
      </c>
      <c r="X21" s="400"/>
    </row>
    <row r="22" spans="1:24" ht="12" customHeight="1">
      <c r="A22" s="53">
        <v>17</v>
      </c>
      <c r="B22" s="9"/>
      <c r="C22" s="9"/>
      <c r="D22" s="10" t="s">
        <v>52</v>
      </c>
      <c r="E22" s="25">
        <v>191</v>
      </c>
      <c r="F22" s="10" t="s">
        <v>53</v>
      </c>
      <c r="G22" s="9" t="s">
        <v>21</v>
      </c>
      <c r="H22" s="30">
        <f>'杭州1'!T52</f>
        <v>2640</v>
      </c>
      <c r="I22" s="30">
        <f>'杭州1'!U52</f>
        <v>2710.0499999999997</v>
      </c>
      <c r="J22" s="30">
        <f>'宁波1'!T54</f>
        <v>2811</v>
      </c>
      <c r="K22" s="30">
        <f>'宁波1'!U54</f>
        <v>2883.615</v>
      </c>
      <c r="L22" s="30">
        <f>'温州1'!W52</f>
        <v>3010</v>
      </c>
      <c r="M22" s="30">
        <f>'温州1'!X52</f>
        <v>3085.6</v>
      </c>
      <c r="N22" s="30">
        <f>'嘉兴11'!AC22</f>
        <v>2640</v>
      </c>
      <c r="O22" s="30">
        <f>'嘉兴11'!AD22</f>
        <v>2707.0049999999997</v>
      </c>
      <c r="P22" s="30" t="e">
        <f>'湖州11'!W21</f>
        <v>#REF!</v>
      </c>
      <c r="Q22" s="30" t="e">
        <f>'湖州11'!X21</f>
        <v>#REF!</v>
      </c>
      <c r="R22" s="30" t="e">
        <f>'绍兴11'!Q51</f>
        <v>#REF!</v>
      </c>
      <c r="S22" s="30" t="e">
        <f>'绍兴11'!R51</f>
        <v>#REF!</v>
      </c>
      <c r="X22" s="400"/>
    </row>
    <row r="23" spans="1:24" ht="12" customHeight="1">
      <c r="A23" s="53">
        <v>18</v>
      </c>
      <c r="B23" s="9"/>
      <c r="C23" s="10" t="s">
        <v>54</v>
      </c>
      <c r="D23" s="13"/>
      <c r="E23" s="9">
        <v>121</v>
      </c>
      <c r="F23" s="13"/>
      <c r="G23" s="9" t="s">
        <v>21</v>
      </c>
      <c r="H23" s="30">
        <f>'杭州1'!T53</f>
        <v>3890</v>
      </c>
      <c r="I23" s="30">
        <f>'杭州1'!U53</f>
        <v>3978.7999999999997</v>
      </c>
      <c r="J23" s="30" t="e">
        <f>'宁波1'!T55</f>
        <v>#REF!</v>
      </c>
      <c r="K23" s="30" t="e">
        <f>'宁波1'!U55</f>
        <v>#REF!</v>
      </c>
      <c r="L23" s="30">
        <f>'温州1'!W53</f>
        <v>4040</v>
      </c>
      <c r="M23" s="30">
        <f>'温州1'!X53</f>
        <v>4131.049999999999</v>
      </c>
      <c r="N23" s="30">
        <f>'嘉兴11'!AC23</f>
        <v>3500</v>
      </c>
      <c r="O23" s="30">
        <f>'嘉兴11'!AD23</f>
        <v>3579.9049999999997</v>
      </c>
      <c r="P23" s="30" t="e">
        <f>'湖州11'!W22</f>
        <v>#REF!</v>
      </c>
      <c r="Q23" s="30" t="e">
        <f>'湖州11'!X22</f>
        <v>#REF!</v>
      </c>
      <c r="R23" s="30" t="e">
        <f>'绍兴11'!Q52</f>
        <v>#REF!</v>
      </c>
      <c r="S23" s="30" t="e">
        <f>'绍兴11'!R52</f>
        <v>#REF!</v>
      </c>
      <c r="X23" s="400"/>
    </row>
    <row r="24" spans="1:24" ht="12" customHeight="1">
      <c r="A24" s="53">
        <v>19</v>
      </c>
      <c r="B24" s="9"/>
      <c r="C24" s="10" t="s">
        <v>55</v>
      </c>
      <c r="D24" s="13"/>
      <c r="E24" s="9">
        <v>125</v>
      </c>
      <c r="F24" s="10" t="s">
        <v>56</v>
      </c>
      <c r="G24" s="9" t="s">
        <v>21</v>
      </c>
      <c r="H24" s="30">
        <f>'杭州1'!T54</f>
        <v>3490</v>
      </c>
      <c r="I24" s="30">
        <f>'杭州1'!U54</f>
        <v>3572.7999999999997</v>
      </c>
      <c r="J24" s="30" t="e">
        <f>'宁波1'!T56</f>
        <v>#REF!</v>
      </c>
      <c r="K24" s="30" t="e">
        <f>'宁波1'!U56</f>
        <v>#REF!</v>
      </c>
      <c r="L24" s="30">
        <f>'温州1'!W54</f>
        <v>3640</v>
      </c>
      <c r="M24" s="30">
        <f>'温州1'!X54</f>
        <v>3725.0499999999997</v>
      </c>
      <c r="N24" s="30">
        <f>'嘉兴11'!AC24</f>
        <v>3000</v>
      </c>
      <c r="O24" s="30">
        <f>'嘉兴11'!AD24</f>
        <v>3072.4049999999997</v>
      </c>
      <c r="P24" s="30" t="e">
        <f>'湖州11'!W23</f>
        <v>#REF!</v>
      </c>
      <c r="Q24" s="30" t="e">
        <f>'湖州11'!X23</f>
        <v>#REF!</v>
      </c>
      <c r="R24" s="30" t="e">
        <f>'绍兴11'!Q53</f>
        <v>#REF!</v>
      </c>
      <c r="S24" s="30" t="e">
        <f>'绍兴11'!R53</f>
        <v>#REF!</v>
      </c>
      <c r="X24" s="400"/>
    </row>
    <row r="25" spans="1:24" s="104" customFormat="1" ht="22.5" customHeight="1">
      <c r="A25" s="9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7" t="s">
        <v>21</v>
      </c>
      <c r="H25" s="22">
        <f>'杭州1'!T55</f>
        <v>262.4375</v>
      </c>
      <c r="I25" s="22">
        <f>'杭州1'!U55</f>
        <v>279.28930312499995</v>
      </c>
      <c r="J25" s="22">
        <f>'宁波1'!T57</f>
        <v>294.15277777777777</v>
      </c>
      <c r="K25" s="22">
        <f>'宁波1'!U57</f>
        <v>311.80222013888886</v>
      </c>
      <c r="L25" s="22">
        <f>'温州1'!W55</f>
        <v>323.40909090909093</v>
      </c>
      <c r="M25" s="22">
        <f>'温州1'!X55</f>
        <v>341.7600340909091</v>
      </c>
      <c r="N25" s="22">
        <f>'嘉兴11'!AC25</f>
        <v>235.17857142857144</v>
      </c>
      <c r="O25" s="22">
        <f>'嘉兴11'!AD25</f>
        <v>288.39666249999993</v>
      </c>
      <c r="P25" s="22">
        <f>'湖州11'!W24</f>
        <v>252.3</v>
      </c>
      <c r="Q25" s="22">
        <f>'湖州11'!X24</f>
        <v>269.96432749999997</v>
      </c>
      <c r="R25" s="22">
        <f>'绍兴11'!Q54</f>
        <v>313.5416666666667</v>
      </c>
      <c r="S25" s="22">
        <f>'绍兴11'!R54</f>
        <v>331.6787395833333</v>
      </c>
      <c r="X25" s="400"/>
    </row>
    <row r="26" spans="1:19" ht="13.5" customHeight="1">
      <c r="A26" s="9">
        <v>21</v>
      </c>
      <c r="B26" s="9"/>
      <c r="C26" s="13" t="s">
        <v>60</v>
      </c>
      <c r="D26" s="13"/>
      <c r="E26" s="9">
        <v>832</v>
      </c>
      <c r="F26" s="10" t="s">
        <v>61</v>
      </c>
      <c r="G26" s="9" t="s">
        <v>21</v>
      </c>
      <c r="H26" s="30">
        <f>'杭州1'!T56</f>
        <v>282</v>
      </c>
      <c r="I26" s="30">
        <f>'杭州1'!U56</f>
        <v>299.3438</v>
      </c>
      <c r="J26" s="30">
        <f>'宁波1'!T58</f>
        <v>295.23156231879346</v>
      </c>
      <c r="K26" s="30">
        <f>'宁波1'!U58</f>
        <v>312.90813611111105</v>
      </c>
      <c r="L26" s="30">
        <f>'温州1'!W56</f>
        <v>336</v>
      </c>
      <c r="M26" s="30">
        <f>'温州1'!X56</f>
        <v>354.66760454545454</v>
      </c>
      <c r="N26" s="30">
        <f>'嘉兴11'!AC26</f>
        <v>265.7142857142857</v>
      </c>
      <c r="O26" s="30">
        <f>'嘉兴11'!AD26</f>
        <v>300.80830000000003</v>
      </c>
      <c r="P26" s="30">
        <f>'湖州11'!W25</f>
        <v>262.6</v>
      </c>
      <c r="Q26" s="30">
        <f>'湖州11'!X25</f>
        <v>279.94473</v>
      </c>
      <c r="R26" s="30">
        <f>'绍兴11'!Q55</f>
        <v>323.3333333333333</v>
      </c>
      <c r="S26" s="30">
        <f>'绍兴11'!R55</f>
        <v>341.71666666666664</v>
      </c>
    </row>
    <row r="27" spans="1:19" ht="13.5" customHeight="1">
      <c r="A27" s="9">
        <v>22</v>
      </c>
      <c r="B27" s="9"/>
      <c r="C27" s="13" t="s">
        <v>60</v>
      </c>
      <c r="D27" s="13"/>
      <c r="E27" s="9"/>
      <c r="F27" s="10" t="s">
        <v>62</v>
      </c>
      <c r="G27" s="9" t="s">
        <v>21</v>
      </c>
      <c r="H27" s="30">
        <f>'杭州1'!T57</f>
        <v>254.5</v>
      </c>
      <c r="I27" s="30">
        <f>'杭州1'!U57</f>
        <v>271.152175</v>
      </c>
      <c r="J27" s="30">
        <f>'宁波1'!T59</f>
        <v>275.72222222222223</v>
      </c>
      <c r="K27" s="30">
        <f>'宁波1'!U59</f>
        <v>292.90813611111105</v>
      </c>
      <c r="L27" s="30">
        <f>'温州1'!W57</f>
        <v>315.90909090909093</v>
      </c>
      <c r="M27" s="30">
        <f>'温州1'!X57</f>
        <v>334.07140909090907</v>
      </c>
      <c r="N27" s="30">
        <f>'嘉兴11'!AC27</f>
        <v>232.14285714285714</v>
      </c>
      <c r="O27" s="30">
        <f>'嘉兴11'!AD27</f>
        <v>280.89109999999994</v>
      </c>
      <c r="P27" s="30">
        <f>'湖州11'!W26</f>
        <v>246.2</v>
      </c>
      <c r="Q27" s="30">
        <f>'湖州11'!X26</f>
        <v>263.09389</v>
      </c>
      <c r="R27" s="30">
        <f>'绍兴11'!Q56</f>
        <v>303.3333333333333</v>
      </c>
      <c r="S27" s="30">
        <f>'绍兴11'!R56</f>
        <v>321.2136666666666</v>
      </c>
    </row>
    <row r="28" spans="1:19" ht="13.5" customHeight="1">
      <c r="A28" s="9">
        <v>23</v>
      </c>
      <c r="B28" s="9"/>
      <c r="C28" s="13" t="s">
        <v>63</v>
      </c>
      <c r="D28" s="13"/>
      <c r="E28" s="9">
        <v>833</v>
      </c>
      <c r="F28" s="10" t="s">
        <v>61</v>
      </c>
      <c r="G28" s="9" t="s">
        <v>21</v>
      </c>
      <c r="H28" s="30">
        <f>'杭州1'!T58</f>
        <v>313.5</v>
      </c>
      <c r="I28" s="30">
        <f>'杭州1'!U58</f>
        <v>331.636025</v>
      </c>
      <c r="J28" s="30">
        <f>'宁波1'!T60</f>
        <v>368.9537845410157</v>
      </c>
      <c r="K28" s="30">
        <f>'宁波1'!U60</f>
        <v>388.48447222222217</v>
      </c>
      <c r="L28" s="30">
        <f>'温州1'!W58</f>
        <v>365.90909090909093</v>
      </c>
      <c r="M28" s="30">
        <f>'温州1'!X58</f>
        <v>385.32890909090906</v>
      </c>
      <c r="N28" s="30">
        <f>'嘉兴11'!AC28</f>
        <v>289.2857142857143</v>
      </c>
      <c r="O28" s="30">
        <f>'嘉兴11'!AD28</f>
        <v>342.54655</v>
      </c>
      <c r="P28" s="30">
        <f>'湖州11'!W27</f>
        <v>290.2</v>
      </c>
      <c r="Q28" s="30">
        <f>'湖州11'!X27</f>
        <v>308.25705</v>
      </c>
      <c r="R28" s="30">
        <f>'绍兴11'!Q57</f>
        <v>364.1666666666667</v>
      </c>
      <c r="S28" s="30">
        <f>'绍兴11'!R57</f>
        <v>383.5769583333333</v>
      </c>
    </row>
    <row r="29" spans="1:19" ht="13.5" customHeight="1">
      <c r="A29" s="397">
        <v>24</v>
      </c>
      <c r="B29" s="9"/>
      <c r="C29" s="13" t="s">
        <v>63</v>
      </c>
      <c r="D29" s="13"/>
      <c r="E29" s="9"/>
      <c r="F29" s="10" t="s">
        <v>62</v>
      </c>
      <c r="G29" s="397" t="s">
        <v>21</v>
      </c>
      <c r="H29" s="30">
        <f>'杭州1'!T59</f>
        <v>286.25</v>
      </c>
      <c r="I29" s="30">
        <f>'杭州1'!U59</f>
        <v>303.70068749999996</v>
      </c>
      <c r="J29" s="30">
        <f>'宁波1'!T61</f>
        <v>349.44444444444446</v>
      </c>
      <c r="K29" s="30">
        <f>'宁波1'!U61</f>
        <v>368.48447222222217</v>
      </c>
      <c r="L29" s="30">
        <f>'温州1'!W59</f>
        <v>345.90909090909093</v>
      </c>
      <c r="M29" s="30">
        <f>'温州1'!X59</f>
        <v>364.8259090909091</v>
      </c>
      <c r="N29" s="30">
        <f>'嘉兴11'!AC29</f>
        <v>244.28571428571428</v>
      </c>
      <c r="O29" s="30">
        <f>'嘉兴11'!AD29</f>
        <v>310.9133499999999</v>
      </c>
      <c r="P29" s="30">
        <f>'湖州11'!W28</f>
        <v>270.6</v>
      </c>
      <c r="Q29" s="30">
        <f>'湖州11'!X28</f>
        <v>290.57563999999996</v>
      </c>
      <c r="R29" s="30">
        <f>'绍兴11'!Q58</f>
        <v>344.1666666666667</v>
      </c>
      <c r="S29" s="30">
        <f>'绍兴11'!R58</f>
        <v>363.07395833333334</v>
      </c>
    </row>
    <row r="30" spans="1:19" s="396" customFormat="1" ht="13.5" customHeight="1">
      <c r="A30" s="9">
        <v>25</v>
      </c>
      <c r="B30" s="6" t="s">
        <v>64</v>
      </c>
      <c r="C30" s="15" t="s">
        <v>65</v>
      </c>
      <c r="D30" s="16"/>
      <c r="E30" s="26"/>
      <c r="F30" s="27" t="s">
        <v>66</v>
      </c>
      <c r="G30" s="147" t="s">
        <v>67</v>
      </c>
      <c r="H30" s="398"/>
      <c r="I30" s="398">
        <f>'杭州1'!U60</f>
        <v>7.340375</v>
      </c>
      <c r="J30" s="398"/>
      <c r="K30" s="398">
        <f>'宁波1'!U62</f>
        <v>6.3</v>
      </c>
      <c r="L30" s="398"/>
      <c r="M30" s="398">
        <f>'温州1'!X60</f>
        <v>7.075727272727272</v>
      </c>
      <c r="N30" s="22"/>
      <c r="O30" s="398" t="e">
        <f>嘉兴11!#REF!</f>
        <v>#REF!</v>
      </c>
      <c r="P30" s="398"/>
      <c r="Q30" s="398">
        <f>'湖州11'!X29</f>
        <v>6.37</v>
      </c>
      <c r="R30" s="398"/>
      <c r="S30" s="398" t="e">
        <f>'绍兴11'!R59</f>
        <v>#REF!</v>
      </c>
    </row>
    <row r="31" spans="1:19" s="396" customFormat="1" ht="13.5" customHeight="1">
      <c r="A31" s="9">
        <v>26</v>
      </c>
      <c r="B31" s="6"/>
      <c r="C31" s="15" t="s">
        <v>65</v>
      </c>
      <c r="D31" s="16"/>
      <c r="E31" s="26">
        <v>862</v>
      </c>
      <c r="F31" s="27" t="s">
        <v>68</v>
      </c>
      <c r="G31" s="147" t="s">
        <v>67</v>
      </c>
      <c r="H31" s="398"/>
      <c r="I31" s="398">
        <f>'杭州1'!U61</f>
        <v>7.625375</v>
      </c>
      <c r="J31" s="398"/>
      <c r="K31" s="398">
        <f>'宁波1'!U63</f>
        <v>6.75</v>
      </c>
      <c r="L31" s="398"/>
      <c r="M31" s="398">
        <f>'温州1'!X61</f>
        <v>7.386636363636362</v>
      </c>
      <c r="N31" s="22"/>
      <c r="O31" s="398" t="e">
        <f>嘉兴11!#REF!</f>
        <v>#REF!</v>
      </c>
      <c r="P31" s="398"/>
      <c r="Q31" s="398">
        <f>'湖州11'!X30</f>
        <v>6.75</v>
      </c>
      <c r="R31" s="398"/>
      <c r="S31" s="398" t="e">
        <f>'绍兴11'!R60</f>
        <v>#REF!</v>
      </c>
    </row>
    <row r="32" spans="1:19" s="396" customFormat="1" ht="13.5" customHeight="1">
      <c r="A32" s="9">
        <v>27</v>
      </c>
      <c r="B32" s="17"/>
      <c r="C32" s="10" t="s">
        <v>69</v>
      </c>
      <c r="D32" s="18"/>
      <c r="E32" s="26">
        <v>863</v>
      </c>
      <c r="F32" s="27" t="s">
        <v>70</v>
      </c>
      <c r="G32" s="147" t="s">
        <v>67</v>
      </c>
      <c r="H32" s="398"/>
      <c r="I32" s="398">
        <f>'杭州1'!U62</f>
        <v>6.3126875</v>
      </c>
      <c r="J32" s="398"/>
      <c r="K32" s="398">
        <f>'宁波1'!U64</f>
        <v>5.73</v>
      </c>
      <c r="L32" s="398"/>
      <c r="M32" s="398">
        <f>'温州1'!X62</f>
        <v>6.5684545454545455</v>
      </c>
      <c r="N32" s="22"/>
      <c r="O32" s="398">
        <f>'嘉兴11'!AD30</f>
        <v>5.78</v>
      </c>
      <c r="P32" s="398"/>
      <c r="Q32" s="398">
        <f>'湖州11'!X31</f>
        <v>5.75</v>
      </c>
      <c r="R32" s="398"/>
      <c r="S32" s="398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78"/>
      <c r="E34" s="104"/>
      <c r="F34" s="7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19"/>
      <c r="C35" s="19"/>
      <c r="D35" s="19"/>
      <c r="E35" s="19"/>
      <c r="F35" s="19"/>
      <c r="G35" s="19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3"/>
      <c r="B37" s="53"/>
      <c r="C37" s="108"/>
      <c r="D37" s="109"/>
      <c r="E37" s="53"/>
      <c r="F37" s="53"/>
      <c r="G37" s="53"/>
      <c r="H37" s="6" t="s">
        <v>14</v>
      </c>
      <c r="I37" s="6" t="s">
        <v>15</v>
      </c>
      <c r="J37" s="6" t="s">
        <v>14</v>
      </c>
      <c r="K37" s="6" t="s">
        <v>15</v>
      </c>
      <c r="L37" s="6" t="s">
        <v>14</v>
      </c>
      <c r="M37" s="6" t="s">
        <v>15</v>
      </c>
      <c r="N37" s="6" t="s">
        <v>14</v>
      </c>
      <c r="O37" s="6" t="s">
        <v>15</v>
      </c>
      <c r="P37" s="6" t="s">
        <v>14</v>
      </c>
      <c r="Q37" s="6" t="s">
        <v>15</v>
      </c>
      <c r="R37" s="53"/>
      <c r="S37" s="53"/>
    </row>
    <row r="38" spans="1:19" s="104" customFormat="1" ht="23.25" customHeight="1">
      <c r="A38" s="53">
        <v>1</v>
      </c>
      <c r="B38" s="6" t="s">
        <v>16</v>
      </c>
      <c r="C38" s="6" t="s">
        <v>17</v>
      </c>
      <c r="D38" s="8" t="s">
        <v>18</v>
      </c>
      <c r="E38" s="9" t="s">
        <v>19</v>
      </c>
      <c r="F38" s="21" t="s">
        <v>20</v>
      </c>
      <c r="G38" s="7" t="s">
        <v>21</v>
      </c>
      <c r="H38" s="22" t="e">
        <f>'金华111'!Q36</f>
        <v>#REF!</v>
      </c>
      <c r="I38" s="22" t="e">
        <f>'金华111'!R36</f>
        <v>#REF!</v>
      </c>
      <c r="J38" s="22" t="e">
        <f>'台州111'!T33</f>
        <v>#REF!</v>
      </c>
      <c r="K38" s="22" t="e">
        <f>'台州111'!U33</f>
        <v>#REF!</v>
      </c>
      <c r="L38" s="22" t="e">
        <f>'丽水11'!T37</f>
        <v>#REF!</v>
      </c>
      <c r="M38" s="22" t="e">
        <f>'丽水11'!U37</f>
        <v>#REF!</v>
      </c>
      <c r="N38" s="22" t="e">
        <f>'衢州11'!W5</f>
        <v>#REF!</v>
      </c>
      <c r="O38" s="22" t="e">
        <f>'衢州11'!X5</f>
        <v>#REF!</v>
      </c>
      <c r="P38" s="22" t="e">
        <f>'舟山11'!T5</f>
        <v>#REF!</v>
      </c>
      <c r="Q38" s="22" t="e">
        <f>'舟山11'!U5</f>
        <v>#REF!</v>
      </c>
      <c r="R38" s="22" t="e">
        <f aca="true" t="shared" si="0" ref="R38:R61">AVERAGE(H6,J6,L6,N6,P6,R6,H38,J38,L38,N38,P38)</f>
        <v>#REF!</v>
      </c>
      <c r="S38" s="22" t="e">
        <f aca="true" t="shared" si="1" ref="S38:S64">AVERAGE(I6,K6,M6,O6,Q6,S6,I38,K38,M38,O38,Q38)</f>
        <v>#REF!</v>
      </c>
    </row>
    <row r="39" spans="1:19" ht="27" customHeight="1">
      <c r="A39" s="53">
        <v>2</v>
      </c>
      <c r="B39" s="9"/>
      <c r="C39" s="9"/>
      <c r="D39" s="10" t="s">
        <v>22</v>
      </c>
      <c r="E39" s="9"/>
      <c r="F39" s="10" t="s">
        <v>23</v>
      </c>
      <c r="G39" s="9" t="s">
        <v>21</v>
      </c>
      <c r="H39" s="30" t="e">
        <f>'金华111'!Q37</f>
        <v>#REF!</v>
      </c>
      <c r="I39" s="30" t="e">
        <f>'金华111'!R37</f>
        <v>#REF!</v>
      </c>
      <c r="J39" s="30" t="e">
        <f>'台州111'!T34</f>
        <v>#REF!</v>
      </c>
      <c r="K39" s="30" t="e">
        <f>'台州111'!U34</f>
        <v>#REF!</v>
      </c>
      <c r="L39" s="30" t="e">
        <f>'丽水11'!T38</f>
        <v>#REF!</v>
      </c>
      <c r="M39" s="30" t="e">
        <f>'丽水11'!U38</f>
        <v>#REF!</v>
      </c>
      <c r="N39" s="30" t="e">
        <f>'衢州11'!W6</f>
        <v>#REF!</v>
      </c>
      <c r="O39" s="30" t="e">
        <f>'衢州11'!X6</f>
        <v>#REF!</v>
      </c>
      <c r="P39" s="30" t="e">
        <f>'舟山11'!T6</f>
        <v>#REF!</v>
      </c>
      <c r="Q39" s="30" t="e">
        <f>'舟山11'!U6</f>
        <v>#REF!</v>
      </c>
      <c r="R39" s="30" t="e">
        <f t="shared" si="0"/>
        <v>#REF!</v>
      </c>
      <c r="S39" s="30" t="e">
        <f t="shared" si="1"/>
        <v>#REF!</v>
      </c>
    </row>
    <row r="40" spans="1:19" ht="12" customHeight="1">
      <c r="A40" s="53">
        <v>3</v>
      </c>
      <c r="B40" s="9"/>
      <c r="C40" s="9"/>
      <c r="D40" s="10" t="s">
        <v>24</v>
      </c>
      <c r="E40" s="9"/>
      <c r="F40" s="10" t="s">
        <v>25</v>
      </c>
      <c r="G40" s="9" t="s">
        <v>21</v>
      </c>
      <c r="H40" s="30" t="e">
        <f>'金华111'!Q38</f>
        <v>#REF!</v>
      </c>
      <c r="I40" s="30" t="e">
        <f>'金华111'!R38</f>
        <v>#REF!</v>
      </c>
      <c r="J40" s="30">
        <f>'台州111'!T35</f>
        <v>2146</v>
      </c>
      <c r="K40" s="30">
        <f>'台州111'!U35</f>
        <v>2205.595</v>
      </c>
      <c r="L40" s="30" t="e">
        <f>'丽水11'!T39</f>
        <v>#REF!</v>
      </c>
      <c r="M40" s="30" t="e">
        <f>'丽水11'!U39</f>
        <v>#REF!</v>
      </c>
      <c r="N40" s="30" t="e">
        <f>'衢州11'!W7</f>
        <v>#REF!</v>
      </c>
      <c r="O40" s="30" t="e">
        <f>'衢州11'!X7</f>
        <v>#REF!</v>
      </c>
      <c r="P40" s="30" t="e">
        <f>'舟山11'!T7</f>
        <v>#REF!</v>
      </c>
      <c r="Q40" s="30" t="e">
        <f>'舟山11'!U7</f>
        <v>#REF!</v>
      </c>
      <c r="R40" s="30" t="e">
        <f t="shared" si="0"/>
        <v>#REF!</v>
      </c>
      <c r="S40" s="30" t="e">
        <f t="shared" si="1"/>
        <v>#REF!</v>
      </c>
    </row>
    <row r="41" spans="1:19" s="104" customFormat="1" ht="36" customHeight="1">
      <c r="A41" s="53">
        <v>4</v>
      </c>
      <c r="B41" s="9"/>
      <c r="C41" s="6" t="s">
        <v>26</v>
      </c>
      <c r="D41" s="11" t="s">
        <v>27</v>
      </c>
      <c r="E41" s="9">
        <v>112</v>
      </c>
      <c r="F41" s="21" t="s">
        <v>28</v>
      </c>
      <c r="G41" s="7" t="s">
        <v>21</v>
      </c>
      <c r="H41" s="22" t="e">
        <f>'金华111'!Q39</f>
        <v>#REF!</v>
      </c>
      <c r="I41" s="22" t="e">
        <f>'金华111'!R39</f>
        <v>#REF!</v>
      </c>
      <c r="J41" s="22">
        <f>'台州111'!T36</f>
        <v>2031.7000000000003</v>
      </c>
      <c r="K41" s="22">
        <f>'台州111'!U36</f>
        <v>2089.5805</v>
      </c>
      <c r="L41" s="22" t="e">
        <f>'丽水11'!T40</f>
        <v>#REF!</v>
      </c>
      <c r="M41" s="22" t="e">
        <f>'丽水11'!U40</f>
        <v>#REF!</v>
      </c>
      <c r="N41" s="22" t="e">
        <f>'衢州11'!W8</f>
        <v>#REF!</v>
      </c>
      <c r="O41" s="22" t="e">
        <f>'衢州11'!X8</f>
        <v>#REF!</v>
      </c>
      <c r="P41" s="22" t="e">
        <f>'舟山11'!T8</f>
        <v>#REF!</v>
      </c>
      <c r="Q41" s="22" t="e">
        <f>'舟山11'!U8</f>
        <v>#REF!</v>
      </c>
      <c r="R41" s="22" t="e">
        <f t="shared" si="0"/>
        <v>#REF!</v>
      </c>
      <c r="S41" s="22" t="e">
        <f t="shared" si="1"/>
        <v>#REF!</v>
      </c>
    </row>
    <row r="42" spans="1:19" ht="12" customHeight="1">
      <c r="A42" s="53">
        <v>5</v>
      </c>
      <c r="B42" s="9"/>
      <c r="C42" s="9"/>
      <c r="D42" s="10" t="s">
        <v>29</v>
      </c>
      <c r="E42" s="9"/>
      <c r="F42" s="10" t="s">
        <v>30</v>
      </c>
      <c r="G42" s="9" t="s">
        <v>21</v>
      </c>
      <c r="H42" s="399" t="e">
        <f>'金华111'!Q40</f>
        <v>#REF!</v>
      </c>
      <c r="I42" s="30" t="e">
        <f>'金华111'!R40</f>
        <v>#REF!</v>
      </c>
      <c r="J42" s="30">
        <f>'台州111'!T37</f>
        <v>2198</v>
      </c>
      <c r="K42" s="30">
        <f>'台州111'!U37</f>
        <v>2258.375</v>
      </c>
      <c r="L42" s="30" t="e">
        <f>'丽水11'!T41</f>
        <v>#REF!</v>
      </c>
      <c r="M42" s="30" t="e">
        <f>'丽水11'!U41</f>
        <v>#REF!</v>
      </c>
      <c r="N42" s="30" t="e">
        <f>'衢州11'!W9</f>
        <v>#REF!</v>
      </c>
      <c r="O42" s="30" t="e">
        <f>'衢州11'!X9</f>
        <v>#REF!</v>
      </c>
      <c r="P42" s="30" t="e">
        <f>'舟山11'!T9</f>
        <v>#REF!</v>
      </c>
      <c r="Q42" s="30" t="e">
        <f>'舟山11'!U9</f>
        <v>#REF!</v>
      </c>
      <c r="R42" s="30" t="e">
        <f t="shared" si="0"/>
        <v>#REF!</v>
      </c>
      <c r="S42" s="30" t="e">
        <f t="shared" si="1"/>
        <v>#REF!</v>
      </c>
    </row>
    <row r="43" spans="1:19" ht="12" customHeight="1">
      <c r="A43" s="53">
        <v>6</v>
      </c>
      <c r="B43" s="9"/>
      <c r="C43" s="9"/>
      <c r="D43" s="10" t="s">
        <v>29</v>
      </c>
      <c r="E43" s="9"/>
      <c r="F43" s="10" t="s">
        <v>31</v>
      </c>
      <c r="G43" s="9" t="s">
        <v>21</v>
      </c>
      <c r="H43" s="399" t="e">
        <f>'金华111'!Q41</f>
        <v>#REF!</v>
      </c>
      <c r="I43" s="30" t="e">
        <f>'金华111'!R41</f>
        <v>#REF!</v>
      </c>
      <c r="J43" s="30">
        <f>'台州111'!T38</f>
        <v>2098</v>
      </c>
      <c r="K43" s="30">
        <f>'台州111'!U38</f>
        <v>2156.875</v>
      </c>
      <c r="L43" s="30" t="e">
        <f>'丽水11'!T42</f>
        <v>#REF!</v>
      </c>
      <c r="M43" s="30" t="e">
        <f>'丽水11'!U42</f>
        <v>#REF!</v>
      </c>
      <c r="N43" s="30" t="e">
        <f>'衢州11'!W10</f>
        <v>#REF!</v>
      </c>
      <c r="O43" s="30" t="e">
        <f>'衢州11'!X10</f>
        <v>#REF!</v>
      </c>
      <c r="P43" s="30" t="e">
        <f>'舟山11'!T10</f>
        <v>#REF!</v>
      </c>
      <c r="Q43" s="30" t="e">
        <f>'舟山11'!U10</f>
        <v>#REF!</v>
      </c>
      <c r="R43" s="30" t="e">
        <f t="shared" si="0"/>
        <v>#REF!</v>
      </c>
      <c r="S43" s="30" t="e">
        <f t="shared" si="1"/>
        <v>#REF!</v>
      </c>
    </row>
    <row r="44" spans="1:19" ht="12" customHeight="1">
      <c r="A44" s="53">
        <v>7</v>
      </c>
      <c r="B44" s="9"/>
      <c r="C44" s="9"/>
      <c r="D44" s="10" t="s">
        <v>29</v>
      </c>
      <c r="E44" s="9"/>
      <c r="F44" s="10" t="s">
        <v>32</v>
      </c>
      <c r="G44" s="9" t="s">
        <v>21</v>
      </c>
      <c r="H44" s="399" t="e">
        <f>'金华111'!Q42</f>
        <v>#REF!</v>
      </c>
      <c r="I44" s="30" t="e">
        <f>'金华111'!R42</f>
        <v>#REF!</v>
      </c>
      <c r="J44" s="30">
        <f>'台州111'!T39</f>
        <v>1948</v>
      </c>
      <c r="K44" s="30">
        <f>'台州111'!U39</f>
        <v>2004.6249999999998</v>
      </c>
      <c r="L44" s="30" t="e">
        <f>'丽水11'!T43</f>
        <v>#REF!</v>
      </c>
      <c r="M44" s="30" t="e">
        <f>'丽水11'!U43</f>
        <v>#REF!</v>
      </c>
      <c r="N44" s="30" t="e">
        <f>'衢州11'!W11</f>
        <v>#REF!</v>
      </c>
      <c r="O44" s="30" t="e">
        <f>'衢州11'!X11</f>
        <v>#REF!</v>
      </c>
      <c r="P44" s="30" t="e">
        <f>'舟山11'!T11</f>
        <v>#REF!</v>
      </c>
      <c r="Q44" s="30" t="e">
        <f>'舟山11'!U11</f>
        <v>#REF!</v>
      </c>
      <c r="R44" s="30" t="e">
        <f t="shared" si="0"/>
        <v>#REF!</v>
      </c>
      <c r="S44" s="30" t="e">
        <f t="shared" si="1"/>
        <v>#REF!</v>
      </c>
    </row>
    <row r="45" spans="1:19" ht="12" customHeight="1">
      <c r="A45" s="53">
        <v>8</v>
      </c>
      <c r="B45" s="9"/>
      <c r="C45" s="9"/>
      <c r="D45" s="10" t="s">
        <v>29</v>
      </c>
      <c r="E45" s="9"/>
      <c r="F45" s="10" t="s">
        <v>33</v>
      </c>
      <c r="G45" s="9" t="s">
        <v>21</v>
      </c>
      <c r="H45" s="399" t="e">
        <f>'金华111'!Q43</f>
        <v>#REF!</v>
      </c>
      <c r="I45" s="30" t="e">
        <f>'金华111'!R43</f>
        <v>#REF!</v>
      </c>
      <c r="J45" s="30">
        <f>'台州111'!T40</f>
        <v>2008</v>
      </c>
      <c r="K45" s="30">
        <f>'台州111'!U40</f>
        <v>2065.5249999999996</v>
      </c>
      <c r="L45" s="30" t="e">
        <f>'丽水11'!T44</f>
        <v>#REF!</v>
      </c>
      <c r="M45" s="30" t="e">
        <f>'丽水11'!U44</f>
        <v>#REF!</v>
      </c>
      <c r="N45" s="30" t="e">
        <f>'衢州11'!W12</f>
        <v>#REF!</v>
      </c>
      <c r="O45" s="30" t="e">
        <f>'衢州11'!X12</f>
        <v>#REF!</v>
      </c>
      <c r="P45" s="30" t="e">
        <f>'舟山11'!T12</f>
        <v>#REF!</v>
      </c>
      <c r="Q45" s="30" t="e">
        <f>'舟山11'!U12</f>
        <v>#REF!</v>
      </c>
      <c r="R45" s="30" t="e">
        <f t="shared" si="0"/>
        <v>#REF!</v>
      </c>
      <c r="S45" s="30" t="e">
        <f t="shared" si="1"/>
        <v>#REF!</v>
      </c>
    </row>
    <row r="46" spans="1:19" s="104" customFormat="1" ht="24" customHeight="1">
      <c r="A46" s="53">
        <v>9</v>
      </c>
      <c r="B46" s="9"/>
      <c r="C46" s="6" t="s">
        <v>34</v>
      </c>
      <c r="D46" s="11" t="s">
        <v>35</v>
      </c>
      <c r="E46" s="9">
        <v>182</v>
      </c>
      <c r="F46" s="21" t="s">
        <v>36</v>
      </c>
      <c r="G46" s="7" t="s">
        <v>21</v>
      </c>
      <c r="H46" s="22" t="e">
        <f>'金华111'!Q44</f>
        <v>#REF!</v>
      </c>
      <c r="I46" s="22" t="e">
        <f>'金华111'!R44</f>
        <v>#REF!</v>
      </c>
      <c r="J46" s="22" t="e">
        <f>'台州111'!T41</f>
        <v>#REF!</v>
      </c>
      <c r="K46" s="22" t="e">
        <f>'台州111'!U41</f>
        <v>#REF!</v>
      </c>
      <c r="L46" s="22" t="e">
        <f>'丽水11'!T45</f>
        <v>#REF!</v>
      </c>
      <c r="M46" s="22" t="e">
        <f>'丽水11'!U45</f>
        <v>#REF!</v>
      </c>
      <c r="N46" s="22" t="e">
        <f>'衢州11'!W13</f>
        <v>#REF!</v>
      </c>
      <c r="O46" s="22" t="e">
        <f>'衢州11'!X13</f>
        <v>#REF!</v>
      </c>
      <c r="P46" s="22" t="e">
        <f>'舟山11'!T13</f>
        <v>#REF!</v>
      </c>
      <c r="Q46" s="22" t="e">
        <f>'舟山11'!U13</f>
        <v>#REF!</v>
      </c>
      <c r="R46" s="22" t="e">
        <f t="shared" si="0"/>
        <v>#REF!</v>
      </c>
      <c r="S46" s="22" t="e">
        <f t="shared" si="1"/>
        <v>#REF!</v>
      </c>
    </row>
    <row r="47" spans="1:19" ht="12" customHeight="1">
      <c r="A47" s="53">
        <v>10</v>
      </c>
      <c r="B47" s="9"/>
      <c r="C47" s="9"/>
      <c r="D47" s="10" t="s">
        <v>37</v>
      </c>
      <c r="E47" s="9"/>
      <c r="F47" s="13" t="s">
        <v>38</v>
      </c>
      <c r="G47" s="9" t="s">
        <v>21</v>
      </c>
      <c r="H47" s="399" t="e">
        <f>'金华111'!Q45</f>
        <v>#REF!</v>
      </c>
      <c r="I47" s="30" t="e">
        <f>'金华111'!R45</f>
        <v>#REF!</v>
      </c>
      <c r="J47" s="30" t="e">
        <f>'台州111'!T42</f>
        <v>#REF!</v>
      </c>
      <c r="K47" s="30" t="e">
        <f>'台州111'!U42</f>
        <v>#REF!</v>
      </c>
      <c r="L47" s="30" t="e">
        <f>'丽水11'!T46</f>
        <v>#REF!</v>
      </c>
      <c r="M47" s="30" t="e">
        <f>'丽水11'!U46</f>
        <v>#REF!</v>
      </c>
      <c r="N47" s="30" t="e">
        <f>'衢州11'!W14</f>
        <v>#REF!</v>
      </c>
      <c r="O47" s="30" t="e">
        <f>'衢州11'!X14</f>
        <v>#REF!</v>
      </c>
      <c r="P47" s="30" t="e">
        <f>'舟山11'!T14</f>
        <v>#REF!</v>
      </c>
      <c r="Q47" s="30" t="e">
        <f>'舟山11'!U14</f>
        <v>#REF!</v>
      </c>
      <c r="R47" s="30" t="e">
        <f t="shared" si="0"/>
        <v>#REF!</v>
      </c>
      <c r="S47" s="30" t="e">
        <f t="shared" si="1"/>
        <v>#REF!</v>
      </c>
    </row>
    <row r="48" spans="1:19" ht="12" customHeight="1">
      <c r="A48" s="53">
        <v>11</v>
      </c>
      <c r="B48" s="9"/>
      <c r="C48" s="9"/>
      <c r="D48" s="10" t="s">
        <v>39</v>
      </c>
      <c r="E48" s="9"/>
      <c r="F48" s="13" t="s">
        <v>40</v>
      </c>
      <c r="G48" s="9" t="s">
        <v>21</v>
      </c>
      <c r="H48" s="399" t="e">
        <f>'金华111'!Q46</f>
        <v>#REF!</v>
      </c>
      <c r="I48" s="30" t="e">
        <f>'金华111'!R46</f>
        <v>#REF!</v>
      </c>
      <c r="J48" s="30" t="e">
        <f>'台州111'!T43</f>
        <v>#REF!</v>
      </c>
      <c r="K48" s="30" t="e">
        <f>'台州111'!U43</f>
        <v>#REF!</v>
      </c>
      <c r="L48" s="30" t="e">
        <f>'丽水11'!T47</f>
        <v>#REF!</v>
      </c>
      <c r="M48" s="30" t="e">
        <f>'丽水11'!U47</f>
        <v>#REF!</v>
      </c>
      <c r="N48" s="30" t="e">
        <f>'衢州11'!W15</f>
        <v>#REF!</v>
      </c>
      <c r="O48" s="30" t="e">
        <f>'衢州11'!X15</f>
        <v>#REF!</v>
      </c>
      <c r="P48" s="30" t="e">
        <f>'舟山11'!T15</f>
        <v>#REF!</v>
      </c>
      <c r="Q48" s="30" t="e">
        <f>'舟山11'!U15</f>
        <v>#REF!</v>
      </c>
      <c r="R48" s="30" t="e">
        <f t="shared" si="0"/>
        <v>#REF!</v>
      </c>
      <c r="S48" s="30" t="e">
        <f t="shared" si="1"/>
        <v>#REF!</v>
      </c>
    </row>
    <row r="49" spans="1:19" ht="12" customHeight="1">
      <c r="A49" s="53">
        <v>12</v>
      </c>
      <c r="B49" s="9"/>
      <c r="C49" s="9"/>
      <c r="D49" s="10" t="s">
        <v>41</v>
      </c>
      <c r="E49" s="9"/>
      <c r="F49" s="13" t="s">
        <v>42</v>
      </c>
      <c r="G49" s="9" t="s">
        <v>21</v>
      </c>
      <c r="H49" s="399" t="e">
        <f>'金华111'!Q47</f>
        <v>#REF!</v>
      </c>
      <c r="I49" s="30" t="e">
        <f>'金华111'!R47</f>
        <v>#REF!</v>
      </c>
      <c r="J49" s="30" t="e">
        <f>'台州111'!T44</f>
        <v>#REF!</v>
      </c>
      <c r="K49" s="30" t="e">
        <f>'台州111'!U44</f>
        <v>#REF!</v>
      </c>
      <c r="L49" s="30" t="e">
        <f>'丽水11'!T48</f>
        <v>#REF!</v>
      </c>
      <c r="M49" s="30" t="e">
        <f>'丽水11'!U48</f>
        <v>#REF!</v>
      </c>
      <c r="N49" s="30" t="e">
        <f>'衢州11'!W16</f>
        <v>#REF!</v>
      </c>
      <c r="O49" s="30" t="e">
        <f>'衢州11'!X16</f>
        <v>#REF!</v>
      </c>
      <c r="P49" s="30" t="e">
        <f>'舟山11'!T16</f>
        <v>#REF!</v>
      </c>
      <c r="Q49" s="30" t="e">
        <f>'舟山11'!U16</f>
        <v>#REF!</v>
      </c>
      <c r="R49" s="30" t="e">
        <f t="shared" si="0"/>
        <v>#REF!</v>
      </c>
      <c r="S49" s="30" t="e">
        <f t="shared" si="1"/>
        <v>#REF!</v>
      </c>
    </row>
    <row r="50" spans="1:19" ht="12" customHeight="1">
      <c r="A50" s="53">
        <v>13</v>
      </c>
      <c r="B50" s="9"/>
      <c r="C50" s="6" t="s">
        <v>43</v>
      </c>
      <c r="D50" s="9"/>
      <c r="E50" s="9">
        <v>183</v>
      </c>
      <c r="F50" s="13" t="s">
        <v>44</v>
      </c>
      <c r="G50" s="9" t="s">
        <v>21</v>
      </c>
      <c r="H50" s="399" t="e">
        <f>'金华111'!Q48</f>
        <v>#REF!</v>
      </c>
      <c r="I50" s="30" t="e">
        <f>'金华111'!R48</f>
        <v>#REF!</v>
      </c>
      <c r="J50" s="30" t="e">
        <f>'台州111'!T45</f>
        <v>#REF!</v>
      </c>
      <c r="K50" s="30" t="e">
        <f>'台州111'!U45</f>
        <v>#REF!</v>
      </c>
      <c r="L50" s="30" t="e">
        <f>'丽水11'!T49</f>
        <v>#REF!</v>
      </c>
      <c r="M50" s="30" t="e">
        <f>'丽水11'!U49</f>
        <v>#REF!</v>
      </c>
      <c r="N50" s="30" t="e">
        <f>'衢州11'!W17</f>
        <v>#REF!</v>
      </c>
      <c r="O50" s="30" t="e">
        <f>'衢州11'!X17</f>
        <v>#REF!</v>
      </c>
      <c r="P50" s="30" t="e">
        <f>'舟山11'!T17</f>
        <v>#REF!</v>
      </c>
      <c r="Q50" s="30" t="e">
        <f>'舟山11'!U17</f>
        <v>#REF!</v>
      </c>
      <c r="R50" s="30" t="e">
        <f t="shared" si="0"/>
        <v>#REF!</v>
      </c>
      <c r="S50" s="30" t="e">
        <f t="shared" si="1"/>
        <v>#REF!</v>
      </c>
    </row>
    <row r="51" spans="1:19" s="104" customFormat="1" ht="22.5" customHeight="1">
      <c r="A51" s="53">
        <v>14</v>
      </c>
      <c r="B51" s="9"/>
      <c r="C51" s="6" t="s">
        <v>45</v>
      </c>
      <c r="D51" s="11" t="s">
        <v>46</v>
      </c>
      <c r="E51" s="25"/>
      <c r="F51" s="21" t="s">
        <v>47</v>
      </c>
      <c r="G51" s="7" t="s">
        <v>21</v>
      </c>
      <c r="H51" s="22" t="e">
        <f>'金华111'!Q49</f>
        <v>#REF!</v>
      </c>
      <c r="I51" s="22" t="e">
        <f>'金华111'!R49</f>
        <v>#REF!</v>
      </c>
      <c r="J51" s="22" t="e">
        <f>'台州111'!T46</f>
        <v>#REF!</v>
      </c>
      <c r="K51" s="22" t="e">
        <f>'台州111'!U46</f>
        <v>#REF!</v>
      </c>
      <c r="L51" s="22" t="e">
        <f>'丽水11'!T50</f>
        <v>#REF!</v>
      </c>
      <c r="M51" s="22" t="e">
        <f>'丽水11'!U50</f>
        <v>#REF!</v>
      </c>
      <c r="N51" s="22" t="e">
        <f>'衢州11'!W18</f>
        <v>#REF!</v>
      </c>
      <c r="O51" s="22" t="e">
        <f>'衢州11'!X18</f>
        <v>#REF!</v>
      </c>
      <c r="P51" s="22" t="e">
        <f>'舟山11'!T18</f>
        <v>#REF!</v>
      </c>
      <c r="Q51" s="22" t="e">
        <f>'舟山11'!U18</f>
        <v>#REF!</v>
      </c>
      <c r="R51" s="22" t="e">
        <f t="shared" si="0"/>
        <v>#REF!</v>
      </c>
      <c r="S51" s="22" t="e">
        <f t="shared" si="1"/>
        <v>#REF!</v>
      </c>
    </row>
    <row r="52" spans="1:19" ht="12" customHeight="1">
      <c r="A52" s="53">
        <v>15</v>
      </c>
      <c r="B52" s="9"/>
      <c r="C52" s="9"/>
      <c r="D52" s="10" t="s">
        <v>48</v>
      </c>
      <c r="E52" s="25"/>
      <c r="F52" s="10" t="s">
        <v>49</v>
      </c>
      <c r="G52" s="9" t="s">
        <v>21</v>
      </c>
      <c r="H52" s="399" t="e">
        <f>'金华111'!Q50</f>
        <v>#REF!</v>
      </c>
      <c r="I52" s="30" t="e">
        <f>'金华111'!R50</f>
        <v>#REF!</v>
      </c>
      <c r="J52" s="30" t="e">
        <f>'台州111'!T47</f>
        <v>#REF!</v>
      </c>
      <c r="K52" s="30" t="e">
        <f>'台州111'!U47</f>
        <v>#REF!</v>
      </c>
      <c r="L52" s="30" t="e">
        <f>'丽水11'!T51</f>
        <v>#REF!</v>
      </c>
      <c r="M52" s="30" t="e">
        <f>'丽水11'!U51</f>
        <v>#REF!</v>
      </c>
      <c r="N52" s="30" t="e">
        <f>'衢州11'!W19</f>
        <v>#REF!</v>
      </c>
      <c r="O52" s="30" t="e">
        <f>'衢州11'!X19</f>
        <v>#REF!</v>
      </c>
      <c r="P52" s="30" t="e">
        <f>'舟山11'!T19</f>
        <v>#REF!</v>
      </c>
      <c r="Q52" s="30" t="e">
        <f>'舟山11'!U19</f>
        <v>#REF!</v>
      </c>
      <c r="R52" s="30" t="e">
        <f t="shared" si="0"/>
        <v>#REF!</v>
      </c>
      <c r="S52" s="30" t="e">
        <f t="shared" si="1"/>
        <v>#REF!</v>
      </c>
    </row>
    <row r="53" spans="1:19" ht="12" customHeight="1">
      <c r="A53" s="53">
        <v>16</v>
      </c>
      <c r="B53" s="9"/>
      <c r="C53" s="9"/>
      <c r="D53" s="10" t="s">
        <v>50</v>
      </c>
      <c r="E53" s="25">
        <v>192</v>
      </c>
      <c r="F53" s="10" t="s">
        <v>51</v>
      </c>
      <c r="G53" s="9" t="s">
        <v>21</v>
      </c>
      <c r="H53" s="399" t="e">
        <f>'金华111'!Q51</f>
        <v>#REF!</v>
      </c>
      <c r="I53" s="30" t="e">
        <f>'金华111'!R51</f>
        <v>#REF!</v>
      </c>
      <c r="J53" s="30" t="e">
        <f>'台州111'!T48</f>
        <v>#REF!</v>
      </c>
      <c r="K53" s="30" t="e">
        <f>'台州111'!U48</f>
        <v>#REF!</v>
      </c>
      <c r="L53" s="30" t="e">
        <f>'丽水11'!T52</f>
        <v>#REF!</v>
      </c>
      <c r="M53" s="30" t="e">
        <f>'丽水11'!U52</f>
        <v>#REF!</v>
      </c>
      <c r="N53" s="30" t="e">
        <f>'衢州11'!W20</f>
        <v>#REF!</v>
      </c>
      <c r="O53" s="30" t="e">
        <f>'衢州11'!X20</f>
        <v>#REF!</v>
      </c>
      <c r="P53" s="30" t="e">
        <f>'舟山11'!T20</f>
        <v>#REF!</v>
      </c>
      <c r="Q53" s="30" t="e">
        <f>'舟山11'!U20</f>
        <v>#REF!</v>
      </c>
      <c r="R53" s="30" t="e">
        <f t="shared" si="0"/>
        <v>#REF!</v>
      </c>
      <c r="S53" s="30" t="e">
        <f t="shared" si="1"/>
        <v>#REF!</v>
      </c>
    </row>
    <row r="54" spans="1:19" ht="12" customHeight="1">
      <c r="A54" s="53">
        <v>17</v>
      </c>
      <c r="B54" s="9"/>
      <c r="C54" s="9"/>
      <c r="D54" s="10" t="s">
        <v>52</v>
      </c>
      <c r="E54" s="25">
        <v>191</v>
      </c>
      <c r="F54" s="10" t="s">
        <v>53</v>
      </c>
      <c r="G54" s="9" t="s">
        <v>21</v>
      </c>
      <c r="H54" s="399" t="e">
        <f>'金华111'!Q52</f>
        <v>#REF!</v>
      </c>
      <c r="I54" s="30" t="e">
        <f>'金华111'!R52</f>
        <v>#REF!</v>
      </c>
      <c r="J54" s="30" t="e">
        <f>'台州111'!T49</f>
        <v>#REF!</v>
      </c>
      <c r="K54" s="30" t="e">
        <f>'台州111'!U49</f>
        <v>#REF!</v>
      </c>
      <c r="L54" s="30" t="e">
        <f>'丽水11'!T53</f>
        <v>#REF!</v>
      </c>
      <c r="M54" s="30" t="e">
        <f>'丽水11'!U53</f>
        <v>#REF!</v>
      </c>
      <c r="N54" s="30" t="e">
        <f>'衢州11'!W21</f>
        <v>#REF!</v>
      </c>
      <c r="O54" s="30" t="e">
        <f>'衢州11'!X21</f>
        <v>#REF!</v>
      </c>
      <c r="P54" s="30" t="e">
        <f>'舟山11'!T21</f>
        <v>#REF!</v>
      </c>
      <c r="Q54" s="30" t="e">
        <f>'舟山11'!U21</f>
        <v>#REF!</v>
      </c>
      <c r="R54" s="30" t="e">
        <f t="shared" si="0"/>
        <v>#REF!</v>
      </c>
      <c r="S54" s="30" t="e">
        <f t="shared" si="1"/>
        <v>#REF!</v>
      </c>
    </row>
    <row r="55" spans="1:19" ht="12" customHeight="1">
      <c r="A55" s="53">
        <v>18</v>
      </c>
      <c r="B55" s="9"/>
      <c r="C55" s="10" t="s">
        <v>54</v>
      </c>
      <c r="D55" s="13"/>
      <c r="E55" s="9">
        <v>121</v>
      </c>
      <c r="F55" s="13"/>
      <c r="G55" s="9" t="s">
        <v>21</v>
      </c>
      <c r="H55" s="399" t="e">
        <f>'金华111'!Q53</f>
        <v>#REF!</v>
      </c>
      <c r="I55" s="30" t="e">
        <f>'金华111'!R53</f>
        <v>#REF!</v>
      </c>
      <c r="J55" s="30" t="e">
        <f>'台州111'!T50</f>
        <v>#REF!</v>
      </c>
      <c r="K55" s="30" t="e">
        <f>'台州111'!U50</f>
        <v>#REF!</v>
      </c>
      <c r="L55" s="30" t="e">
        <f>'丽水11'!T54</f>
        <v>#REF!</v>
      </c>
      <c r="M55" s="30" t="e">
        <f>'丽水11'!U54</f>
        <v>#REF!</v>
      </c>
      <c r="N55" s="30" t="e">
        <f>'衢州11'!W22</f>
        <v>#REF!</v>
      </c>
      <c r="O55" s="30" t="e">
        <f>'衢州11'!X22</f>
        <v>#REF!</v>
      </c>
      <c r="P55" s="30" t="e">
        <f>'舟山11'!T22</f>
        <v>#REF!</v>
      </c>
      <c r="Q55" s="30" t="e">
        <f>'舟山11'!U22</f>
        <v>#REF!</v>
      </c>
      <c r="R55" s="30" t="e">
        <f t="shared" si="0"/>
        <v>#REF!</v>
      </c>
      <c r="S55" s="30" t="e">
        <f t="shared" si="1"/>
        <v>#REF!</v>
      </c>
    </row>
    <row r="56" spans="1:19" ht="12" customHeight="1">
      <c r="A56" s="53">
        <v>19</v>
      </c>
      <c r="B56" s="9"/>
      <c r="C56" s="10" t="s">
        <v>55</v>
      </c>
      <c r="D56" s="13"/>
      <c r="E56" s="9">
        <v>125</v>
      </c>
      <c r="F56" s="10" t="s">
        <v>56</v>
      </c>
      <c r="G56" s="9" t="s">
        <v>21</v>
      </c>
      <c r="H56" s="399" t="e">
        <f>'金华111'!Q54</f>
        <v>#REF!</v>
      </c>
      <c r="I56" s="30" t="e">
        <f>'金华111'!R54</f>
        <v>#REF!</v>
      </c>
      <c r="J56" s="30" t="e">
        <f>'台州111'!T51</f>
        <v>#REF!</v>
      </c>
      <c r="K56" s="30" t="e">
        <f>'台州111'!U51</f>
        <v>#REF!</v>
      </c>
      <c r="L56" s="30" t="e">
        <f>'丽水11'!T55</f>
        <v>#REF!</v>
      </c>
      <c r="M56" s="30" t="e">
        <f>'丽水11'!U55</f>
        <v>#REF!</v>
      </c>
      <c r="N56" s="30" t="e">
        <f>'衢州11'!W23</f>
        <v>#REF!</v>
      </c>
      <c r="O56" s="30" t="e">
        <f>'衢州11'!X23</f>
        <v>#REF!</v>
      </c>
      <c r="P56" s="30" t="e">
        <f>'舟山11'!T23</f>
        <v>#REF!</v>
      </c>
      <c r="Q56" s="30" t="e">
        <f>'舟山11'!U23</f>
        <v>#REF!</v>
      </c>
      <c r="R56" s="30" t="e">
        <f t="shared" si="0"/>
        <v>#REF!</v>
      </c>
      <c r="S56" s="30" t="e">
        <f t="shared" si="1"/>
        <v>#REF!</v>
      </c>
    </row>
    <row r="57" spans="1:19" s="104" customFormat="1" ht="22.5" customHeight="1">
      <c r="A57" s="9">
        <v>20</v>
      </c>
      <c r="B57" s="6" t="s">
        <v>57</v>
      </c>
      <c r="C57" s="11" t="s">
        <v>58</v>
      </c>
      <c r="D57" s="14"/>
      <c r="E57" s="7"/>
      <c r="F57" s="21" t="s">
        <v>59</v>
      </c>
      <c r="G57" s="7" t="s">
        <v>21</v>
      </c>
      <c r="H57" s="22">
        <f>'金华111'!Q55</f>
        <v>345.46875</v>
      </c>
      <c r="I57" s="22">
        <f>'金华111'!R55</f>
        <v>364.4087890625</v>
      </c>
      <c r="J57" s="22">
        <f>'台州111'!T52</f>
        <v>316.8333333333333</v>
      </c>
      <c r="K57" s="22">
        <f>'台州111'!U52</f>
        <v>334.72222222222223</v>
      </c>
      <c r="L57" s="22">
        <f>'丽水11'!T56</f>
        <v>347.19444444444446</v>
      </c>
      <c r="M57" s="22">
        <f>'丽水11'!U56</f>
        <v>366.1778847222222</v>
      </c>
      <c r="N57" s="22">
        <f>'衢州11'!W24</f>
        <v>316</v>
      </c>
      <c r="O57" s="22">
        <f>'衢州11'!X24</f>
        <v>334.1988999999999</v>
      </c>
      <c r="P57" s="22">
        <f>'舟山11'!T24</f>
        <v>321.96361508071993</v>
      </c>
      <c r="Q57" s="22">
        <f>'舟山11'!U24</f>
        <v>340.3125</v>
      </c>
      <c r="R57" s="22">
        <f t="shared" si="0"/>
        <v>302.58906814914593</v>
      </c>
      <c r="S57" s="22">
        <f t="shared" si="1"/>
        <v>323.882871176825</v>
      </c>
    </row>
    <row r="58" spans="1:19" ht="13.5" customHeight="1">
      <c r="A58" s="9">
        <v>21</v>
      </c>
      <c r="B58" s="9"/>
      <c r="C58" s="13" t="s">
        <v>60</v>
      </c>
      <c r="D58" s="13"/>
      <c r="E58" s="9">
        <v>832</v>
      </c>
      <c r="F58" s="10" t="s">
        <v>61</v>
      </c>
      <c r="G58" s="9" t="s">
        <v>21</v>
      </c>
      <c r="H58" s="30">
        <f>'金华111'!Q56</f>
        <v>348.125</v>
      </c>
      <c r="I58" s="30">
        <f>'金华111'!R56</f>
        <v>367.13184375</v>
      </c>
      <c r="J58" s="30">
        <f>'台州111'!T53</f>
        <v>329.44444444444446</v>
      </c>
      <c r="K58" s="30">
        <f>'台州111'!U53</f>
        <v>347.77777777777777</v>
      </c>
      <c r="L58" s="30">
        <f>'丽水11'!T57</f>
        <v>350.3333333333333</v>
      </c>
      <c r="M58" s="30">
        <f>'丽水11'!U57</f>
        <v>369.39571666666666</v>
      </c>
      <c r="N58" s="30">
        <f>'衢州11'!W25</f>
        <v>327</v>
      </c>
      <c r="O58" s="30">
        <f>'衢州11'!X25</f>
        <v>345.47555</v>
      </c>
      <c r="P58" s="30">
        <f>'舟山11'!T25</f>
        <v>322.8781153977467</v>
      </c>
      <c r="Q58" s="30">
        <f>'舟山11'!U25</f>
        <v>341.25</v>
      </c>
      <c r="R58" s="30">
        <f t="shared" si="0"/>
        <v>312.9690976856307</v>
      </c>
      <c r="S58" s="30">
        <f t="shared" si="1"/>
        <v>332.7654659561524</v>
      </c>
    </row>
    <row r="59" spans="1:19" ht="13.5" customHeight="1">
      <c r="A59" s="9">
        <v>22</v>
      </c>
      <c r="B59" s="9"/>
      <c r="C59" s="13" t="s">
        <v>60</v>
      </c>
      <c r="D59" s="13"/>
      <c r="E59" s="9"/>
      <c r="F59" s="10" t="s">
        <v>62</v>
      </c>
      <c r="G59" s="9" t="s">
        <v>21</v>
      </c>
      <c r="H59" s="30">
        <f>'金华111'!Q57</f>
        <v>333.125</v>
      </c>
      <c r="I59" s="30">
        <f>'金华111'!R57</f>
        <v>351.75459374999997</v>
      </c>
      <c r="J59" s="30">
        <f>'台州111'!T54</f>
        <v>303.22222222222223</v>
      </c>
      <c r="K59" s="30">
        <f>'台州111'!U54</f>
        <v>320.77777777777777</v>
      </c>
      <c r="L59" s="30">
        <f>'丽水11'!T58</f>
        <v>336</v>
      </c>
      <c r="M59" s="30">
        <f>'丽水11'!U58</f>
        <v>354.7019</v>
      </c>
      <c r="N59" s="30">
        <f>'衢州11'!W26</f>
        <v>307</v>
      </c>
      <c r="O59" s="30">
        <f>'衢州11'!X26</f>
        <v>324.97254999999996</v>
      </c>
      <c r="P59" s="30">
        <f>'舟山11'!T26</f>
        <v>307.02677656928256</v>
      </c>
      <c r="Q59" s="30">
        <f>'舟山11'!U26</f>
        <v>325</v>
      </c>
      <c r="R59" s="30">
        <f t="shared" si="0"/>
        <v>292.19831839990985</v>
      </c>
      <c r="S59" s="30">
        <f t="shared" si="1"/>
        <v>312.77610894513316</v>
      </c>
    </row>
    <row r="60" spans="1:19" ht="13.5" customHeight="1">
      <c r="A60" s="9">
        <v>23</v>
      </c>
      <c r="B60" s="9"/>
      <c r="C60" s="13" t="s">
        <v>63</v>
      </c>
      <c r="D60" s="13"/>
      <c r="E60" s="9">
        <v>833</v>
      </c>
      <c r="F60" s="10" t="s">
        <v>61</v>
      </c>
      <c r="G60" s="9" t="s">
        <v>21</v>
      </c>
      <c r="H60" s="30">
        <f>'金华111'!Q58</f>
        <v>399.375</v>
      </c>
      <c r="I60" s="30">
        <f>'金华111'!R58</f>
        <v>419.67078124999995</v>
      </c>
      <c r="J60" s="30">
        <f>'台州111'!T55</f>
        <v>377.8888888888889</v>
      </c>
      <c r="K60" s="30">
        <f>'台州111'!U55</f>
        <v>397.44444444444446</v>
      </c>
      <c r="L60" s="30">
        <f>'丽水11'!T59</f>
        <v>399.1111111111111</v>
      </c>
      <c r="M60" s="30">
        <f>'丽水11'!U59</f>
        <v>419.40025555555553</v>
      </c>
      <c r="N60" s="30">
        <f>'衢州11'!W27</f>
        <v>362</v>
      </c>
      <c r="O60" s="30">
        <f>'衢州11'!X27</f>
        <v>381.35579999999993</v>
      </c>
      <c r="P60" s="30">
        <f>'舟山11'!T27</f>
        <v>382.6254694434961</v>
      </c>
      <c r="Q60" s="30">
        <f>'舟山11'!U27</f>
        <v>402.5</v>
      </c>
      <c r="R60" s="30">
        <f t="shared" si="0"/>
        <v>355.7287023496349</v>
      </c>
      <c r="S60" s="30">
        <f t="shared" si="1"/>
        <v>378.2001132633149</v>
      </c>
    </row>
    <row r="61" spans="1:19" ht="13.5" customHeight="1">
      <c r="A61" s="9">
        <v>24</v>
      </c>
      <c r="B61" s="9"/>
      <c r="C61" s="13" t="s">
        <v>63</v>
      </c>
      <c r="D61" s="13"/>
      <c r="E61" s="9"/>
      <c r="F61" s="10" t="s">
        <v>62</v>
      </c>
      <c r="G61" s="9" t="s">
        <v>21</v>
      </c>
      <c r="H61" s="30">
        <f>'金华111'!Q59</f>
        <v>382.5</v>
      </c>
      <c r="I61" s="30">
        <f>'金华111'!R59</f>
        <v>402.371375</v>
      </c>
      <c r="J61" s="30">
        <f>'台州111'!T56</f>
        <v>357.6666666666667</v>
      </c>
      <c r="K61" s="30">
        <f>'台州111'!U56</f>
        <v>376.55555555555554</v>
      </c>
      <c r="L61" s="30">
        <f>'丽水11'!T60</f>
        <v>380.77777777777777</v>
      </c>
      <c r="M61" s="30">
        <f>'丽水11'!U60</f>
        <v>400.60583888888885</v>
      </c>
      <c r="N61" s="30">
        <f>'衢州11'!W28</f>
        <v>343</v>
      </c>
      <c r="O61" s="30">
        <f>'衢州11'!X28</f>
        <v>361.87794999999994</v>
      </c>
      <c r="P61" s="30">
        <f>'舟山11'!T28</f>
        <v>366.774130615032</v>
      </c>
      <c r="Q61" s="30">
        <f>'舟山11'!U28</f>
        <v>386.25</v>
      </c>
      <c r="R61" s="30">
        <f t="shared" si="0"/>
        <v>333.7613173968539</v>
      </c>
      <c r="S61" s="30">
        <f t="shared" si="1"/>
        <v>357.2031578719008</v>
      </c>
    </row>
    <row r="62" spans="1:19" s="189" customFormat="1" ht="13.5" customHeight="1">
      <c r="A62" s="9">
        <v>25</v>
      </c>
      <c r="B62" s="6" t="s">
        <v>64</v>
      </c>
      <c r="C62" s="15" t="s">
        <v>65</v>
      </c>
      <c r="D62" s="16"/>
      <c r="E62" s="26"/>
      <c r="F62" s="27" t="s">
        <v>66</v>
      </c>
      <c r="G62" s="147" t="s">
        <v>67</v>
      </c>
      <c r="H62" s="42"/>
      <c r="I62" s="42">
        <f>'金华111'!R60</f>
        <v>6.43</v>
      </c>
      <c r="J62" s="42"/>
      <c r="K62" s="42" t="e">
        <f>'台州111'!U57</f>
        <v>#REF!</v>
      </c>
      <c r="L62" s="42"/>
      <c r="M62" s="42">
        <f>'丽水11'!U61</f>
        <v>6.3</v>
      </c>
      <c r="N62" s="42"/>
      <c r="O62" s="42">
        <f>'衢州11'!X29</f>
        <v>7.146299999999999</v>
      </c>
      <c r="P62" s="42"/>
      <c r="Q62" s="42">
        <f>'舟山11'!U29</f>
        <v>6.3</v>
      </c>
      <c r="R62" s="42"/>
      <c r="S62" s="42" t="e">
        <f t="shared" si="1"/>
        <v>#REF!</v>
      </c>
    </row>
    <row r="63" spans="1:19" s="189" customFormat="1" ht="13.5" customHeight="1">
      <c r="A63" s="9">
        <v>26</v>
      </c>
      <c r="B63" s="6"/>
      <c r="C63" s="15" t="s">
        <v>65</v>
      </c>
      <c r="D63" s="16"/>
      <c r="E63" s="26">
        <v>862</v>
      </c>
      <c r="F63" s="27" t="s">
        <v>68</v>
      </c>
      <c r="G63" s="147" t="s">
        <v>67</v>
      </c>
      <c r="H63" s="42"/>
      <c r="I63" s="42">
        <f>'金华111'!R61</f>
        <v>6.829999999999999</v>
      </c>
      <c r="J63" s="42"/>
      <c r="K63" s="42" t="e">
        <f>'台州111'!U58</f>
        <v>#REF!</v>
      </c>
      <c r="L63" s="42"/>
      <c r="M63" s="42">
        <f>'丽水11'!U62</f>
        <v>6.75</v>
      </c>
      <c r="N63" s="42"/>
      <c r="O63" s="42">
        <f>'衢州11'!X30</f>
        <v>7.4503</v>
      </c>
      <c r="P63" s="42"/>
      <c r="Q63" s="42">
        <f>'舟山11'!U30</f>
        <v>6.75</v>
      </c>
      <c r="R63" s="42"/>
      <c r="S63" s="42" t="e">
        <f t="shared" si="1"/>
        <v>#REF!</v>
      </c>
    </row>
    <row r="64" spans="1:19" s="189" customFormat="1" ht="13.5" customHeight="1">
      <c r="A64" s="9">
        <v>27</v>
      </c>
      <c r="B64" s="17"/>
      <c r="C64" s="10" t="s">
        <v>69</v>
      </c>
      <c r="D64" s="18"/>
      <c r="E64" s="26">
        <v>863</v>
      </c>
      <c r="F64" s="27" t="s">
        <v>70</v>
      </c>
      <c r="G64" s="26" t="s">
        <v>67</v>
      </c>
      <c r="H64" s="42"/>
      <c r="I64" s="42">
        <f>'金华111'!R62</f>
        <v>5.89</v>
      </c>
      <c r="J64" s="42"/>
      <c r="K64" s="42" t="e">
        <f>'台州111'!U59</f>
        <v>#REF!</v>
      </c>
      <c r="L64" s="42"/>
      <c r="M64" s="42">
        <f>'丽水11'!U63</f>
        <v>5.67</v>
      </c>
      <c r="N64" s="42"/>
      <c r="O64" s="42">
        <f>'衢州11'!X31</f>
        <v>6.6503</v>
      </c>
      <c r="P64" s="42"/>
      <c r="Q64" s="42">
        <f>'舟山11'!U31</f>
        <v>5.73</v>
      </c>
      <c r="R64" s="42"/>
      <c r="S64" s="42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78"/>
      <c r="E2" s="104"/>
      <c r="F2" s="245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19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88"/>
      <c r="X3" s="88"/>
      <c r="Y3" s="88"/>
      <c r="Z3" s="88"/>
      <c r="AA3" s="88"/>
    </row>
    <row r="4" spans="1:31" ht="14.25" customHeight="1">
      <c r="A4" s="6" t="s">
        <v>2</v>
      </c>
      <c r="B4" s="6" t="s">
        <v>3</v>
      </c>
      <c r="C4" s="6" t="s">
        <v>4</v>
      </c>
      <c r="D4" s="9"/>
      <c r="E4" s="6" t="s">
        <v>5</v>
      </c>
      <c r="F4" s="247" t="s">
        <v>6</v>
      </c>
      <c r="G4" s="6" t="s">
        <v>7</v>
      </c>
      <c r="H4" s="248" t="s">
        <v>177</v>
      </c>
      <c r="I4" s="248"/>
      <c r="J4" s="248"/>
      <c r="K4" s="43" t="s">
        <v>178</v>
      </c>
      <c r="L4" s="45"/>
      <c r="M4" s="45"/>
      <c r="N4" s="43" t="s">
        <v>179</v>
      </c>
      <c r="O4" s="45"/>
      <c r="P4" s="45"/>
      <c r="Q4" s="43" t="s">
        <v>180</v>
      </c>
      <c r="R4" s="45"/>
      <c r="S4" s="45"/>
      <c r="T4" s="43" t="s">
        <v>181</v>
      </c>
      <c r="U4" s="43"/>
      <c r="V4" s="43"/>
      <c r="W4" s="43" t="s">
        <v>182</v>
      </c>
      <c r="X4" s="45"/>
      <c r="Y4" s="45"/>
      <c r="Z4" s="43" t="s">
        <v>183</v>
      </c>
      <c r="AA4" s="45"/>
      <c r="AB4" s="45"/>
      <c r="AC4" s="43" t="s">
        <v>77</v>
      </c>
      <c r="AD4" s="43" t="s">
        <v>78</v>
      </c>
      <c r="AE4" s="43" t="s">
        <v>80</v>
      </c>
    </row>
    <row r="5" spans="1:31" ht="30.75" customHeight="1">
      <c r="A5" s="9"/>
      <c r="B5" s="9"/>
      <c r="C5" s="9"/>
      <c r="D5" s="9"/>
      <c r="E5" s="9"/>
      <c r="F5" s="249"/>
      <c r="G5" s="9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5"/>
      <c r="AD5" s="45"/>
      <c r="AE5" s="43"/>
    </row>
    <row r="6" spans="1:31" s="104" customFormat="1" ht="23.25" customHeight="1">
      <c r="A6" s="240">
        <v>1</v>
      </c>
      <c r="B6" s="6" t="s">
        <v>16</v>
      </c>
      <c r="C6" s="6" t="s">
        <v>17</v>
      </c>
      <c r="D6" s="241" t="s">
        <v>18</v>
      </c>
      <c r="E6" s="9">
        <v>111</v>
      </c>
      <c r="F6" s="250" t="s">
        <v>184</v>
      </c>
      <c r="G6" s="7" t="s">
        <v>21</v>
      </c>
      <c r="H6" s="213">
        <f>H7*0.8+H8*0.2</f>
        <v>2136.8</v>
      </c>
      <c r="I6" s="213">
        <f>I7*0.8+I8*0.2</f>
        <v>2196.2569999999996</v>
      </c>
      <c r="J6" s="260"/>
      <c r="K6" s="213"/>
      <c r="L6" s="213"/>
      <c r="M6" s="260"/>
      <c r="N6" s="213"/>
      <c r="O6" s="213"/>
      <c r="P6" s="260"/>
      <c r="Q6" s="213"/>
      <c r="R6" s="213"/>
      <c r="S6" s="260"/>
      <c r="T6" s="213"/>
      <c r="U6" s="213"/>
      <c r="V6" s="260"/>
      <c r="W6" s="213"/>
      <c r="X6" s="213"/>
      <c r="Y6" s="260"/>
      <c r="Z6" s="213"/>
      <c r="AA6" s="213"/>
      <c r="AB6" s="260"/>
      <c r="AC6" s="213">
        <f>AVERAGE(H6,K6,N6,Q6,T6,W6,Z6)</f>
        <v>2136.8</v>
      </c>
      <c r="AD6" s="213">
        <f>AVERAGE(I6,L6,O6,R6,U6,X6,AA6)</f>
        <v>2196.2569999999996</v>
      </c>
      <c r="AE6" s="269">
        <v>17</v>
      </c>
    </row>
    <row r="7" spans="1:31" ht="15" customHeight="1">
      <c r="A7" s="240">
        <v>2</v>
      </c>
      <c r="B7" s="9"/>
      <c r="C7" s="9"/>
      <c r="D7" s="10" t="s">
        <v>185</v>
      </c>
      <c r="E7" s="9"/>
      <c r="F7" s="251" t="s">
        <v>23</v>
      </c>
      <c r="G7" s="9" t="s">
        <v>21</v>
      </c>
      <c r="H7" s="217">
        <v>2130</v>
      </c>
      <c r="I7" s="196">
        <f>(H7+27)*1.015</f>
        <v>2189.3549999999996</v>
      </c>
      <c r="J7" s="260" t="s">
        <v>89</v>
      </c>
      <c r="K7" s="196"/>
      <c r="L7" s="196"/>
      <c r="M7" s="260"/>
      <c r="N7" s="196"/>
      <c r="O7" s="196"/>
      <c r="P7" s="260"/>
      <c r="Q7" s="196"/>
      <c r="R7" s="196"/>
      <c r="S7" s="260"/>
      <c r="T7" s="196"/>
      <c r="U7" s="196"/>
      <c r="V7" s="260"/>
      <c r="W7" s="196"/>
      <c r="X7" s="196"/>
      <c r="Y7" s="260"/>
      <c r="Z7" s="196"/>
      <c r="AA7" s="196"/>
      <c r="AB7" s="260"/>
      <c r="AC7" s="201">
        <f aca="true" t="shared" si="0" ref="AC7:AD22">AVERAGE(H7,K7,N7,Q7,T7,W7,Z7)</f>
        <v>2130</v>
      </c>
      <c r="AD7" s="201">
        <f t="shared" si="0"/>
        <v>2189.3549999999996</v>
      </c>
      <c r="AE7" s="270">
        <v>17</v>
      </c>
    </row>
    <row r="8" spans="1:31" ht="19.5" customHeight="1">
      <c r="A8" s="240">
        <v>3</v>
      </c>
      <c r="B8" s="9"/>
      <c r="C8" s="9"/>
      <c r="D8" s="10" t="s">
        <v>24</v>
      </c>
      <c r="E8" s="9"/>
      <c r="F8" s="251" t="s">
        <v>25</v>
      </c>
      <c r="G8" s="9" t="s">
        <v>21</v>
      </c>
      <c r="H8" s="217">
        <v>2164</v>
      </c>
      <c r="I8" s="196">
        <f>(H8+27)*1.015</f>
        <v>2223.865</v>
      </c>
      <c r="J8" s="260" t="s">
        <v>90</v>
      </c>
      <c r="K8" s="196"/>
      <c r="L8" s="196"/>
      <c r="M8" s="260"/>
      <c r="N8" s="196"/>
      <c r="O8" s="196"/>
      <c r="P8" s="260"/>
      <c r="Q8" s="196"/>
      <c r="R8" s="196"/>
      <c r="S8" s="260"/>
      <c r="T8" s="196"/>
      <c r="U8" s="196"/>
      <c r="V8" s="260"/>
      <c r="W8" s="196"/>
      <c r="X8" s="196"/>
      <c r="Y8" s="260"/>
      <c r="Z8" s="196"/>
      <c r="AA8" s="196"/>
      <c r="AB8" s="260"/>
      <c r="AC8" s="201">
        <f t="shared" si="0"/>
        <v>2164</v>
      </c>
      <c r="AD8" s="201">
        <f t="shared" si="0"/>
        <v>2223.865</v>
      </c>
      <c r="AE8" s="270">
        <v>17</v>
      </c>
    </row>
    <row r="9" spans="1:31" s="104" customFormat="1" ht="48.75" customHeight="1">
      <c r="A9" s="240">
        <v>4</v>
      </c>
      <c r="B9" s="9"/>
      <c r="C9" s="6" t="s">
        <v>26</v>
      </c>
      <c r="D9" s="10" t="s">
        <v>27</v>
      </c>
      <c r="E9" s="9">
        <v>112</v>
      </c>
      <c r="F9" s="250" t="s">
        <v>186</v>
      </c>
      <c r="G9" s="7" t="s">
        <v>21</v>
      </c>
      <c r="H9" s="213">
        <f>H10*0.03+H11*0.38+H12*0.27+H13*0.32</f>
        <v>1920.7</v>
      </c>
      <c r="I9" s="213">
        <f>I10*0.03+I11*0.38+I12*0.27+I13*0.32</f>
        <v>1976.9154999999998</v>
      </c>
      <c r="J9" s="260"/>
      <c r="K9" s="213"/>
      <c r="L9" s="213"/>
      <c r="M9" s="260"/>
      <c r="N9" s="213"/>
      <c r="O9" s="213"/>
      <c r="P9" s="260"/>
      <c r="Q9" s="213"/>
      <c r="R9" s="213"/>
      <c r="S9" s="260"/>
      <c r="T9" s="213"/>
      <c r="U9" s="213"/>
      <c r="V9" s="260"/>
      <c r="W9" s="213"/>
      <c r="X9" s="213"/>
      <c r="Y9" s="260"/>
      <c r="Z9" s="213"/>
      <c r="AA9" s="213"/>
      <c r="AB9" s="260"/>
      <c r="AC9" s="213">
        <f t="shared" si="0"/>
        <v>1920.7</v>
      </c>
      <c r="AD9" s="213">
        <f t="shared" si="0"/>
        <v>1976.9154999999998</v>
      </c>
      <c r="AE9" s="269">
        <v>17</v>
      </c>
    </row>
    <row r="10" spans="1:31" ht="15" customHeight="1">
      <c r="A10" s="240">
        <v>5</v>
      </c>
      <c r="B10" s="9"/>
      <c r="C10" s="9"/>
      <c r="D10" s="242" t="s">
        <v>29</v>
      </c>
      <c r="E10" s="9"/>
      <c r="F10" s="251" t="s">
        <v>30</v>
      </c>
      <c r="G10" s="9" t="s">
        <v>21</v>
      </c>
      <c r="H10" s="217">
        <v>1940</v>
      </c>
      <c r="I10" s="196">
        <f>(H10+27)*1.015</f>
        <v>1996.5049999999999</v>
      </c>
      <c r="J10" s="260" t="s">
        <v>90</v>
      </c>
      <c r="K10" s="196"/>
      <c r="L10" s="196"/>
      <c r="M10" s="260"/>
      <c r="N10" s="196"/>
      <c r="O10" s="196"/>
      <c r="P10" s="260"/>
      <c r="Q10" s="196"/>
      <c r="R10" s="196"/>
      <c r="S10" s="260"/>
      <c r="T10" s="196"/>
      <c r="U10" s="196"/>
      <c r="V10" s="260"/>
      <c r="W10" s="196"/>
      <c r="X10" s="196"/>
      <c r="Y10" s="260"/>
      <c r="Z10" s="196"/>
      <c r="AA10" s="196"/>
      <c r="AB10" s="260"/>
      <c r="AC10" s="201">
        <f t="shared" si="0"/>
        <v>1940</v>
      </c>
      <c r="AD10" s="201">
        <f t="shared" si="0"/>
        <v>1996.5049999999999</v>
      </c>
      <c r="AE10" s="270">
        <v>17</v>
      </c>
    </row>
    <row r="11" spans="1:31" ht="15" customHeight="1">
      <c r="A11" s="240">
        <v>6</v>
      </c>
      <c r="B11" s="9"/>
      <c r="C11" s="9"/>
      <c r="D11" s="242" t="s">
        <v>29</v>
      </c>
      <c r="E11" s="9"/>
      <c r="F11" s="251" t="s">
        <v>31</v>
      </c>
      <c r="G11" s="9" t="s">
        <v>21</v>
      </c>
      <c r="H11" s="217">
        <v>1930</v>
      </c>
      <c r="I11" s="196">
        <f>(H11+27)*1.015</f>
        <v>1986.3549999999998</v>
      </c>
      <c r="J11" s="260" t="s">
        <v>90</v>
      </c>
      <c r="K11" s="196"/>
      <c r="L11" s="196"/>
      <c r="M11" s="260"/>
      <c r="N11" s="196"/>
      <c r="O11" s="196"/>
      <c r="P11" s="260"/>
      <c r="Q11" s="196"/>
      <c r="R11" s="196"/>
      <c r="S11" s="260"/>
      <c r="T11" s="196"/>
      <c r="U11" s="196"/>
      <c r="V11" s="260"/>
      <c r="W11" s="196"/>
      <c r="X11" s="196"/>
      <c r="Y11" s="260"/>
      <c r="Z11" s="196"/>
      <c r="AA11" s="196"/>
      <c r="AB11" s="260"/>
      <c r="AC11" s="201">
        <f t="shared" si="0"/>
        <v>1930</v>
      </c>
      <c r="AD11" s="201">
        <f t="shared" si="0"/>
        <v>1986.3549999999998</v>
      </c>
      <c r="AE11" s="270">
        <v>17</v>
      </c>
    </row>
    <row r="12" spans="1:31" ht="15" customHeight="1">
      <c r="A12" s="240">
        <v>7</v>
      </c>
      <c r="B12" s="9"/>
      <c r="C12" s="9"/>
      <c r="D12" s="242" t="s">
        <v>29</v>
      </c>
      <c r="E12" s="9"/>
      <c r="F12" s="251" t="s">
        <v>32</v>
      </c>
      <c r="G12" s="9" t="s">
        <v>21</v>
      </c>
      <c r="H12" s="217">
        <v>1930</v>
      </c>
      <c r="I12" s="196">
        <f>(H12+27)*1.015</f>
        <v>1986.3549999999998</v>
      </c>
      <c r="J12" s="260" t="s">
        <v>90</v>
      </c>
      <c r="K12" s="196"/>
      <c r="L12" s="196"/>
      <c r="M12" s="260"/>
      <c r="N12" s="196"/>
      <c r="O12" s="196"/>
      <c r="P12" s="260"/>
      <c r="Q12" s="196"/>
      <c r="R12" s="196"/>
      <c r="S12" s="260"/>
      <c r="T12" s="196"/>
      <c r="U12" s="196"/>
      <c r="V12" s="260"/>
      <c r="W12" s="196"/>
      <c r="X12" s="196"/>
      <c r="Y12" s="260"/>
      <c r="Z12" s="196"/>
      <c r="AA12" s="196"/>
      <c r="AB12" s="260"/>
      <c r="AC12" s="201">
        <f t="shared" si="0"/>
        <v>1930</v>
      </c>
      <c r="AD12" s="201">
        <f t="shared" si="0"/>
        <v>1986.3549999999998</v>
      </c>
      <c r="AE12" s="270">
        <v>17</v>
      </c>
    </row>
    <row r="13" spans="1:31" ht="18.75" customHeight="1">
      <c r="A13" s="240">
        <v>8</v>
      </c>
      <c r="B13" s="9"/>
      <c r="C13" s="9"/>
      <c r="D13" s="242" t="s">
        <v>29</v>
      </c>
      <c r="E13" s="9"/>
      <c r="F13" s="251" t="s">
        <v>33</v>
      </c>
      <c r="G13" s="9" t="s">
        <v>21</v>
      </c>
      <c r="H13" s="217">
        <v>1900</v>
      </c>
      <c r="I13" s="196">
        <f>(H13+27)*1.015</f>
        <v>1955.9049999999997</v>
      </c>
      <c r="J13" s="260" t="s">
        <v>90</v>
      </c>
      <c r="K13" s="196"/>
      <c r="L13" s="196"/>
      <c r="M13" s="260"/>
      <c r="N13" s="196"/>
      <c r="O13" s="196"/>
      <c r="P13" s="260"/>
      <c r="Q13" s="196"/>
      <c r="R13" s="196"/>
      <c r="S13" s="260"/>
      <c r="T13" s="196"/>
      <c r="U13" s="196"/>
      <c r="V13" s="260"/>
      <c r="W13" s="196"/>
      <c r="X13" s="196"/>
      <c r="Y13" s="260"/>
      <c r="Z13" s="196"/>
      <c r="AA13" s="196"/>
      <c r="AB13" s="260"/>
      <c r="AC13" s="201">
        <f t="shared" si="0"/>
        <v>1900</v>
      </c>
      <c r="AD13" s="201">
        <f t="shared" si="0"/>
        <v>1955.9049999999997</v>
      </c>
      <c r="AE13" s="270">
        <v>17</v>
      </c>
    </row>
    <row r="14" spans="1:31" s="104" customFormat="1" ht="25.5">
      <c r="A14" s="240">
        <v>9</v>
      </c>
      <c r="B14" s="9"/>
      <c r="C14" s="6" t="s">
        <v>34</v>
      </c>
      <c r="D14" s="10" t="s">
        <v>35</v>
      </c>
      <c r="E14" s="9">
        <v>182</v>
      </c>
      <c r="F14" s="250" t="s">
        <v>187</v>
      </c>
      <c r="G14" s="7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13">
        <f t="shared" si="0"/>
        <v>2246.3</v>
      </c>
      <c r="AD14" s="213">
        <f t="shared" si="0"/>
        <v>2307.3995</v>
      </c>
      <c r="AE14" s="270">
        <v>17</v>
      </c>
    </row>
    <row r="15" spans="1:31" ht="13.5" customHeight="1">
      <c r="A15" s="240">
        <v>10</v>
      </c>
      <c r="B15" s="9"/>
      <c r="C15" s="9"/>
      <c r="D15" s="10" t="s">
        <v>37</v>
      </c>
      <c r="E15" s="9"/>
      <c r="F15" s="252" t="s">
        <v>38</v>
      </c>
      <c r="G15" s="9" t="s">
        <v>21</v>
      </c>
      <c r="H15" s="217">
        <v>2200</v>
      </c>
      <c r="I15" s="196">
        <f>(H15+27)*1.015</f>
        <v>2260.4049999999997</v>
      </c>
      <c r="J15" s="260" t="s">
        <v>158</v>
      </c>
      <c r="K15" s="196"/>
      <c r="L15" s="196"/>
      <c r="M15" s="260"/>
      <c r="N15" s="196"/>
      <c r="O15" s="196"/>
      <c r="P15" s="260"/>
      <c r="Q15" s="196"/>
      <c r="R15" s="196"/>
      <c r="S15" s="260"/>
      <c r="T15" s="196"/>
      <c r="U15" s="196"/>
      <c r="V15" s="260"/>
      <c r="W15" s="264"/>
      <c r="X15" s="196"/>
      <c r="Y15" s="260"/>
      <c r="Z15" s="196"/>
      <c r="AA15" s="196"/>
      <c r="AB15" s="260"/>
      <c r="AC15" s="201">
        <f t="shared" si="0"/>
        <v>2200</v>
      </c>
      <c r="AD15" s="201">
        <f t="shared" si="0"/>
        <v>2260.4049999999997</v>
      </c>
      <c r="AE15" s="270">
        <v>17</v>
      </c>
    </row>
    <row r="16" spans="1:31" ht="13.5" customHeight="1">
      <c r="A16" s="240">
        <v>11</v>
      </c>
      <c r="B16" s="9"/>
      <c r="C16" s="9"/>
      <c r="D16" s="10" t="s">
        <v>39</v>
      </c>
      <c r="E16" s="9"/>
      <c r="F16" s="252" t="s">
        <v>40</v>
      </c>
      <c r="G16" s="9" t="s">
        <v>21</v>
      </c>
      <c r="H16" s="217">
        <v>2270</v>
      </c>
      <c r="I16" s="196">
        <f>(H16+27)*1.015</f>
        <v>2331.455</v>
      </c>
      <c r="J16" s="260" t="s">
        <v>91</v>
      </c>
      <c r="K16" s="196"/>
      <c r="L16" s="196"/>
      <c r="M16" s="260"/>
      <c r="N16" s="196"/>
      <c r="O16" s="196"/>
      <c r="P16" s="260"/>
      <c r="Q16" s="196"/>
      <c r="R16" s="196"/>
      <c r="S16" s="260"/>
      <c r="T16" s="196"/>
      <c r="U16" s="196"/>
      <c r="V16" s="260"/>
      <c r="W16" s="264"/>
      <c r="X16" s="196"/>
      <c r="Y16" s="260"/>
      <c r="Z16" s="196"/>
      <c r="AA16" s="196"/>
      <c r="AB16" s="260"/>
      <c r="AC16" s="201">
        <f t="shared" si="0"/>
        <v>2270</v>
      </c>
      <c r="AD16" s="201">
        <f t="shared" si="0"/>
        <v>2331.455</v>
      </c>
      <c r="AE16" s="270">
        <v>17</v>
      </c>
    </row>
    <row r="17" spans="1:31" ht="13.5" customHeight="1">
      <c r="A17" s="240">
        <v>12</v>
      </c>
      <c r="B17" s="9"/>
      <c r="C17" s="9"/>
      <c r="D17" s="10" t="s">
        <v>41</v>
      </c>
      <c r="E17" s="9"/>
      <c r="F17" s="252" t="s">
        <v>42</v>
      </c>
      <c r="G17" s="9" t="s">
        <v>21</v>
      </c>
      <c r="H17" s="217">
        <v>2190</v>
      </c>
      <c r="I17" s="196">
        <f>(H17+27)*1.015</f>
        <v>2250.2549999999997</v>
      </c>
      <c r="J17" s="260" t="s">
        <v>91</v>
      </c>
      <c r="K17" s="196"/>
      <c r="L17" s="196"/>
      <c r="M17" s="260"/>
      <c r="N17" s="196"/>
      <c r="O17" s="196"/>
      <c r="P17" s="260"/>
      <c r="Q17" s="196"/>
      <c r="R17" s="196"/>
      <c r="S17" s="260"/>
      <c r="T17" s="196"/>
      <c r="U17" s="196"/>
      <c r="V17" s="260"/>
      <c r="W17" s="264"/>
      <c r="X17" s="196"/>
      <c r="Y17" s="260"/>
      <c r="Z17" s="196"/>
      <c r="AA17" s="196"/>
      <c r="AB17" s="260"/>
      <c r="AC17" s="201">
        <f t="shared" si="0"/>
        <v>2190</v>
      </c>
      <c r="AD17" s="201">
        <f t="shared" si="0"/>
        <v>2250.2549999999997</v>
      </c>
      <c r="AE17" s="270">
        <v>17</v>
      </c>
    </row>
    <row r="18" spans="1:31" ht="13.5" customHeight="1">
      <c r="A18" s="240">
        <v>13</v>
      </c>
      <c r="B18" s="9"/>
      <c r="C18" s="6" t="s">
        <v>188</v>
      </c>
      <c r="D18" s="9"/>
      <c r="E18" s="9">
        <v>183</v>
      </c>
      <c r="F18" s="252" t="s">
        <v>44</v>
      </c>
      <c r="G18" s="9" t="s">
        <v>21</v>
      </c>
      <c r="H18" s="253">
        <v>2077</v>
      </c>
      <c r="I18" s="196">
        <f>(H18+27)*1.015</f>
        <v>2135.56</v>
      </c>
      <c r="J18" s="260" t="s">
        <v>91</v>
      </c>
      <c r="K18" s="196"/>
      <c r="L18" s="196"/>
      <c r="M18" s="260"/>
      <c r="N18" s="196"/>
      <c r="O18" s="196"/>
      <c r="P18" s="260"/>
      <c r="Q18" s="196"/>
      <c r="R18" s="196"/>
      <c r="S18" s="260"/>
      <c r="T18" s="196"/>
      <c r="U18" s="196"/>
      <c r="V18" s="260"/>
      <c r="W18" s="264"/>
      <c r="X18" s="196"/>
      <c r="Y18" s="260"/>
      <c r="Z18" s="196"/>
      <c r="AA18" s="196"/>
      <c r="AB18" s="260"/>
      <c r="AC18" s="201">
        <f t="shared" si="0"/>
        <v>2077</v>
      </c>
      <c r="AD18" s="201">
        <f t="shared" si="0"/>
        <v>2135.56</v>
      </c>
      <c r="AE18" s="270">
        <v>17</v>
      </c>
    </row>
    <row r="19" spans="1:31" s="104" customFormat="1" ht="22.5" customHeight="1">
      <c r="A19" s="240">
        <v>14</v>
      </c>
      <c r="B19" s="9"/>
      <c r="C19" s="6" t="s">
        <v>45</v>
      </c>
      <c r="D19" s="10" t="s">
        <v>46</v>
      </c>
      <c r="E19" s="9">
        <v>191</v>
      </c>
      <c r="F19" s="250" t="s">
        <v>189</v>
      </c>
      <c r="G19" s="7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7"/>
      <c r="X19" s="195"/>
      <c r="Y19" s="268"/>
      <c r="Z19" s="195"/>
      <c r="AA19" s="195"/>
      <c r="AB19" s="268"/>
      <c r="AC19" s="213">
        <f t="shared" si="0"/>
        <v>2379.6</v>
      </c>
      <c r="AD19" s="213">
        <f t="shared" si="0"/>
        <v>2442.6989999999996</v>
      </c>
      <c r="AE19" s="270">
        <v>17</v>
      </c>
    </row>
    <row r="20" spans="1:31" ht="15" customHeight="1">
      <c r="A20" s="240">
        <v>15</v>
      </c>
      <c r="B20" s="9"/>
      <c r="C20" s="9"/>
      <c r="D20" s="10" t="s">
        <v>48</v>
      </c>
      <c r="E20" s="9"/>
      <c r="F20" s="251" t="s">
        <v>190</v>
      </c>
      <c r="G20" s="9" t="s">
        <v>21</v>
      </c>
      <c r="H20" s="254">
        <v>2192</v>
      </c>
      <c r="I20" s="196">
        <f>(H20+27)*1.015</f>
        <v>2252.285</v>
      </c>
      <c r="J20" s="260" t="s">
        <v>161</v>
      </c>
      <c r="K20" s="196"/>
      <c r="L20" s="196"/>
      <c r="M20" s="260"/>
      <c r="N20" s="264"/>
      <c r="O20" s="196"/>
      <c r="P20" s="260"/>
      <c r="Q20" s="196"/>
      <c r="R20" s="196"/>
      <c r="S20" s="260"/>
      <c r="T20" s="196"/>
      <c r="U20" s="196"/>
      <c r="V20" s="260"/>
      <c r="W20" s="264"/>
      <c r="X20" s="196"/>
      <c r="Y20" s="260"/>
      <c r="Z20" s="196"/>
      <c r="AA20" s="196"/>
      <c r="AB20" s="260"/>
      <c r="AC20" s="201">
        <f t="shared" si="0"/>
        <v>2192</v>
      </c>
      <c r="AD20" s="201">
        <f t="shared" si="0"/>
        <v>2252.285</v>
      </c>
      <c r="AE20" s="270">
        <v>17</v>
      </c>
    </row>
    <row r="21" spans="1:31" ht="15" customHeight="1">
      <c r="A21" s="240">
        <v>16</v>
      </c>
      <c r="B21" s="9"/>
      <c r="C21" s="9"/>
      <c r="D21" s="10" t="s">
        <v>50</v>
      </c>
      <c r="E21" s="9"/>
      <c r="F21" s="251" t="s">
        <v>191</v>
      </c>
      <c r="G21" s="9" t="s">
        <v>21</v>
      </c>
      <c r="H21" s="217">
        <v>2682</v>
      </c>
      <c r="I21" s="196">
        <f>(H21+27)*1.015</f>
        <v>2749.6349999999998</v>
      </c>
      <c r="J21" s="260" t="s">
        <v>192</v>
      </c>
      <c r="K21" s="217"/>
      <c r="L21" s="196"/>
      <c r="M21" s="260"/>
      <c r="N21" s="265"/>
      <c r="O21" s="196"/>
      <c r="P21" s="260"/>
      <c r="Q21" s="217"/>
      <c r="R21" s="196"/>
      <c r="S21" s="260"/>
      <c r="T21" s="217"/>
      <c r="U21" s="196"/>
      <c r="V21" s="260"/>
      <c r="W21" s="265"/>
      <c r="X21" s="196"/>
      <c r="Y21" s="260"/>
      <c r="Z21" s="217"/>
      <c r="AA21" s="196"/>
      <c r="AB21" s="260"/>
      <c r="AC21" s="201">
        <f t="shared" si="0"/>
        <v>2682</v>
      </c>
      <c r="AD21" s="201">
        <f t="shared" si="0"/>
        <v>2749.6349999999998</v>
      </c>
      <c r="AE21" s="270">
        <v>17</v>
      </c>
    </row>
    <row r="22" spans="1:31" ht="15" customHeight="1">
      <c r="A22" s="240">
        <v>17</v>
      </c>
      <c r="B22" s="9"/>
      <c r="C22" s="9"/>
      <c r="D22" s="10" t="s">
        <v>52</v>
      </c>
      <c r="E22" s="9"/>
      <c r="F22" s="251" t="s">
        <v>53</v>
      </c>
      <c r="G22" s="9" t="s">
        <v>21</v>
      </c>
      <c r="H22" s="254">
        <v>2640</v>
      </c>
      <c r="I22" s="196">
        <f>(H22+27)*1.015</f>
        <v>2707.0049999999997</v>
      </c>
      <c r="J22" s="260" t="s">
        <v>134</v>
      </c>
      <c r="K22" s="196"/>
      <c r="L22" s="196"/>
      <c r="M22" s="260"/>
      <c r="N22" s="264"/>
      <c r="O22" s="196"/>
      <c r="P22" s="260"/>
      <c r="Q22" s="196"/>
      <c r="R22" s="196"/>
      <c r="S22" s="260"/>
      <c r="T22" s="196"/>
      <c r="U22" s="196"/>
      <c r="V22" s="260"/>
      <c r="W22" s="264"/>
      <c r="X22" s="196"/>
      <c r="Y22" s="260"/>
      <c r="Z22" s="196"/>
      <c r="AA22" s="196"/>
      <c r="AB22" s="260"/>
      <c r="AC22" s="201">
        <f t="shared" si="0"/>
        <v>2640</v>
      </c>
      <c r="AD22" s="201">
        <f t="shared" si="0"/>
        <v>2707.0049999999997</v>
      </c>
      <c r="AE22" s="270">
        <v>17</v>
      </c>
    </row>
    <row r="23" spans="1:31" ht="15" customHeight="1">
      <c r="A23" s="240">
        <v>18</v>
      </c>
      <c r="B23" s="9"/>
      <c r="C23" s="10" t="s">
        <v>54</v>
      </c>
      <c r="D23" s="13"/>
      <c r="E23" s="9">
        <v>121</v>
      </c>
      <c r="F23" s="252"/>
      <c r="G23" s="9" t="s">
        <v>21</v>
      </c>
      <c r="H23" s="114">
        <v>3500</v>
      </c>
      <c r="I23" s="196">
        <f>(H23+27)*1.015</f>
        <v>3579.9049999999997</v>
      </c>
      <c r="J23" s="260" t="s">
        <v>193</v>
      </c>
      <c r="K23" s="196"/>
      <c r="L23" s="196"/>
      <c r="M23" s="260"/>
      <c r="N23" s="264"/>
      <c r="O23" s="196"/>
      <c r="P23" s="260"/>
      <c r="Q23" s="196"/>
      <c r="R23" s="196"/>
      <c r="S23" s="260"/>
      <c r="T23" s="196"/>
      <c r="U23" s="196"/>
      <c r="V23" s="260"/>
      <c r="W23" s="264"/>
      <c r="X23" s="196"/>
      <c r="Y23" s="260"/>
      <c r="Z23" s="196"/>
      <c r="AA23" s="196"/>
      <c r="AB23" s="260"/>
      <c r="AC23" s="201">
        <f aca="true" t="shared" si="1" ref="AC23:AD29">AVERAGE(H23,K23,N23,Q23,T23,W23,Z23)</f>
        <v>3500</v>
      </c>
      <c r="AD23" s="201">
        <f t="shared" si="1"/>
        <v>3579.9049999999997</v>
      </c>
      <c r="AE23" s="270">
        <v>17</v>
      </c>
    </row>
    <row r="24" spans="1:31" ht="15" customHeight="1">
      <c r="A24" s="240">
        <v>19</v>
      </c>
      <c r="B24" s="9"/>
      <c r="C24" s="10" t="s">
        <v>55</v>
      </c>
      <c r="D24" s="13"/>
      <c r="E24" s="9">
        <v>125</v>
      </c>
      <c r="F24" s="251" t="s">
        <v>194</v>
      </c>
      <c r="G24" s="9" t="s">
        <v>21</v>
      </c>
      <c r="H24" s="114">
        <v>3000</v>
      </c>
      <c r="I24" s="196">
        <f>(H24+27)*1.015</f>
        <v>3072.4049999999997</v>
      </c>
      <c r="J24" s="260" t="s">
        <v>195</v>
      </c>
      <c r="K24" s="196"/>
      <c r="L24" s="196"/>
      <c r="M24" s="260"/>
      <c r="N24" s="196"/>
      <c r="O24" s="196"/>
      <c r="P24" s="260"/>
      <c r="Q24" s="196"/>
      <c r="R24" s="196"/>
      <c r="S24" s="260"/>
      <c r="T24" s="196"/>
      <c r="U24" s="196"/>
      <c r="V24" s="260"/>
      <c r="W24" s="196"/>
      <c r="X24" s="196"/>
      <c r="Y24" s="260"/>
      <c r="Z24" s="196"/>
      <c r="AA24" s="196"/>
      <c r="AB24" s="260"/>
      <c r="AC24" s="201">
        <f t="shared" si="1"/>
        <v>3000</v>
      </c>
      <c r="AD24" s="201">
        <f t="shared" si="1"/>
        <v>3072.4049999999997</v>
      </c>
      <c r="AE24" s="270">
        <v>17</v>
      </c>
    </row>
    <row r="25" spans="1:31" s="104" customFormat="1" ht="22.5" customHeight="1">
      <c r="A25" s="240">
        <v>20</v>
      </c>
      <c r="B25" s="6" t="s">
        <v>57</v>
      </c>
      <c r="C25" s="10" t="s">
        <v>196</v>
      </c>
      <c r="D25" s="13"/>
      <c r="E25" s="255"/>
      <c r="F25" s="250" t="s">
        <v>197</v>
      </c>
      <c r="G25" s="7" t="s">
        <v>21</v>
      </c>
      <c r="H25" s="36">
        <f>H27*0.75+H29*0.25</f>
        <v>235.17857142857144</v>
      </c>
      <c r="I25" s="36">
        <f>I27*0.75+I29*0.25</f>
        <v>288.39666249999993</v>
      </c>
      <c r="J25" s="260"/>
      <c r="K25" s="36"/>
      <c r="L25" s="36"/>
      <c r="M25" s="260"/>
      <c r="N25" s="36"/>
      <c r="O25" s="36"/>
      <c r="P25" s="260"/>
      <c r="Q25" s="36"/>
      <c r="R25" s="36"/>
      <c r="S25" s="260"/>
      <c r="T25" s="36"/>
      <c r="U25" s="36"/>
      <c r="V25" s="260"/>
      <c r="W25" s="36"/>
      <c r="X25" s="36"/>
      <c r="Y25" s="260"/>
      <c r="Z25" s="36"/>
      <c r="AA25" s="36"/>
      <c r="AB25" s="260"/>
      <c r="AC25" s="213">
        <f t="shared" si="1"/>
        <v>235.17857142857144</v>
      </c>
      <c r="AD25" s="213">
        <f t="shared" si="1"/>
        <v>288.39666249999993</v>
      </c>
      <c r="AE25" s="270">
        <v>17</v>
      </c>
    </row>
    <row r="26" spans="1:31" ht="17.25" customHeight="1">
      <c r="A26" s="240">
        <v>21</v>
      </c>
      <c r="B26" s="9"/>
      <c r="C26" s="13" t="s">
        <v>198</v>
      </c>
      <c r="D26" s="13"/>
      <c r="E26" s="9">
        <v>832</v>
      </c>
      <c r="F26" s="251" t="s">
        <v>61</v>
      </c>
      <c r="G26" s="9" t="s">
        <v>21</v>
      </c>
      <c r="H26" s="256">
        <v>265.7142857142857</v>
      </c>
      <c r="I26" s="256">
        <v>300.80830000000003</v>
      </c>
      <c r="J26" s="262" t="s">
        <v>11</v>
      </c>
      <c r="K26" s="256"/>
      <c r="L26" s="256"/>
      <c r="M26" s="262"/>
      <c r="N26" s="256"/>
      <c r="O26" s="256"/>
      <c r="P26" s="262"/>
      <c r="Q26" s="256"/>
      <c r="R26" s="256"/>
      <c r="S26" s="262"/>
      <c r="T26" s="266"/>
      <c r="U26" s="256"/>
      <c r="V26" s="262"/>
      <c r="W26" s="256"/>
      <c r="X26" s="256"/>
      <c r="Y26" s="262"/>
      <c r="Z26" s="256"/>
      <c r="AA26" s="256"/>
      <c r="AB26" s="262"/>
      <c r="AC26" s="271">
        <f t="shared" si="1"/>
        <v>265.7142857142857</v>
      </c>
      <c r="AD26" s="201">
        <f t="shared" si="1"/>
        <v>300.80830000000003</v>
      </c>
      <c r="AE26" s="270">
        <v>17</v>
      </c>
    </row>
    <row r="27" spans="1:31" ht="15" customHeight="1">
      <c r="A27" s="240">
        <v>22</v>
      </c>
      <c r="B27" s="9"/>
      <c r="C27" s="13" t="s">
        <v>198</v>
      </c>
      <c r="D27" s="13"/>
      <c r="E27" s="9"/>
      <c r="F27" s="251" t="s">
        <v>62</v>
      </c>
      <c r="G27" s="9" t="s">
        <v>21</v>
      </c>
      <c r="H27" s="256">
        <v>232.14285714285714</v>
      </c>
      <c r="I27" s="256">
        <v>280.89109999999994</v>
      </c>
      <c r="J27" s="262" t="s">
        <v>11</v>
      </c>
      <c r="K27" s="256"/>
      <c r="L27" s="256"/>
      <c r="M27" s="262"/>
      <c r="N27" s="256"/>
      <c r="O27" s="256"/>
      <c r="P27" s="262"/>
      <c r="Q27" s="256"/>
      <c r="R27" s="256"/>
      <c r="S27" s="262"/>
      <c r="T27" s="266"/>
      <c r="U27" s="256"/>
      <c r="V27" s="262"/>
      <c r="W27" s="256"/>
      <c r="X27" s="256"/>
      <c r="Y27" s="262"/>
      <c r="Z27" s="256"/>
      <c r="AA27" s="256"/>
      <c r="AB27" s="262"/>
      <c r="AC27" s="271">
        <f t="shared" si="1"/>
        <v>232.14285714285714</v>
      </c>
      <c r="AD27" s="201">
        <f t="shared" si="1"/>
        <v>280.89109999999994</v>
      </c>
      <c r="AE27" s="270">
        <v>17</v>
      </c>
    </row>
    <row r="28" spans="1:31" ht="15" customHeight="1">
      <c r="A28" s="240">
        <v>23</v>
      </c>
      <c r="B28" s="9"/>
      <c r="C28" s="13" t="s">
        <v>199</v>
      </c>
      <c r="D28" s="13"/>
      <c r="E28" s="9">
        <v>833</v>
      </c>
      <c r="F28" s="251" t="s">
        <v>61</v>
      </c>
      <c r="G28" s="9" t="s">
        <v>21</v>
      </c>
      <c r="H28" s="256">
        <v>289.2857142857143</v>
      </c>
      <c r="I28" s="256">
        <v>342.54655</v>
      </c>
      <c r="J28" s="262" t="s">
        <v>11</v>
      </c>
      <c r="K28" s="256"/>
      <c r="L28" s="256"/>
      <c r="M28" s="262"/>
      <c r="N28" s="256"/>
      <c r="O28" s="256"/>
      <c r="P28" s="262"/>
      <c r="Q28" s="256"/>
      <c r="R28" s="256"/>
      <c r="S28" s="262"/>
      <c r="T28" s="266"/>
      <c r="U28" s="256"/>
      <c r="V28" s="262"/>
      <c r="W28" s="256"/>
      <c r="X28" s="256"/>
      <c r="Y28" s="262"/>
      <c r="Z28" s="256"/>
      <c r="AA28" s="256"/>
      <c r="AB28" s="262"/>
      <c r="AC28" s="271">
        <f t="shared" si="1"/>
        <v>289.2857142857143</v>
      </c>
      <c r="AD28" s="201">
        <f t="shared" si="1"/>
        <v>342.54655</v>
      </c>
      <c r="AE28" s="270">
        <v>17</v>
      </c>
    </row>
    <row r="29" spans="1:31" ht="15" customHeight="1">
      <c r="A29" s="240">
        <v>24</v>
      </c>
      <c r="B29" s="9"/>
      <c r="C29" s="13" t="s">
        <v>199</v>
      </c>
      <c r="D29" s="13"/>
      <c r="E29" s="9"/>
      <c r="F29" s="251" t="s">
        <v>62</v>
      </c>
      <c r="G29" s="9" t="s">
        <v>21</v>
      </c>
      <c r="H29" s="256">
        <v>244.28571428571428</v>
      </c>
      <c r="I29" s="256">
        <v>310.9133499999999</v>
      </c>
      <c r="J29" s="262" t="s">
        <v>11</v>
      </c>
      <c r="K29" s="256"/>
      <c r="L29" s="256"/>
      <c r="M29" s="262"/>
      <c r="N29" s="256"/>
      <c r="O29" s="256"/>
      <c r="P29" s="262"/>
      <c r="Q29" s="256"/>
      <c r="R29" s="256"/>
      <c r="S29" s="262"/>
      <c r="T29" s="266"/>
      <c r="U29" s="256"/>
      <c r="V29" s="262"/>
      <c r="W29" s="256"/>
      <c r="X29" s="256"/>
      <c r="Y29" s="262"/>
      <c r="Z29" s="256"/>
      <c r="AA29" s="256"/>
      <c r="AB29" s="262"/>
      <c r="AC29" s="271">
        <f t="shared" si="1"/>
        <v>244.28571428571428</v>
      </c>
      <c r="AD29" s="201">
        <f t="shared" si="1"/>
        <v>310.9133499999999</v>
      </c>
      <c r="AE29" s="270">
        <v>17</v>
      </c>
    </row>
    <row r="30" spans="1:30" s="189" customFormat="1" ht="13.5" customHeight="1" hidden="1">
      <c r="A30" s="9">
        <v>27</v>
      </c>
      <c r="B30" s="49"/>
      <c r="C30" s="243" t="s">
        <v>69</v>
      </c>
      <c r="D30" s="244"/>
      <c r="E30" s="26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3" t="s">
        <v>200</v>
      </c>
      <c r="K30" s="259">
        <v>5.78</v>
      </c>
      <c r="L30" s="259">
        <v>5.78</v>
      </c>
      <c r="M30" s="263" t="s">
        <v>200</v>
      </c>
      <c r="N30" s="259">
        <v>5.78</v>
      </c>
      <c r="O30" s="259">
        <v>5.78</v>
      </c>
      <c r="P30" s="263" t="s">
        <v>200</v>
      </c>
      <c r="Q30" s="259">
        <v>5.78</v>
      </c>
      <c r="R30" s="259">
        <v>5.78</v>
      </c>
      <c r="S30" s="263" t="s">
        <v>200</v>
      </c>
      <c r="T30" s="259">
        <v>5.78</v>
      </c>
      <c r="U30" s="259">
        <v>5.78</v>
      </c>
      <c r="V30" s="263" t="s">
        <v>200</v>
      </c>
      <c r="W30" s="259">
        <v>5.78</v>
      </c>
      <c r="X30" s="259">
        <v>5.78</v>
      </c>
      <c r="Y30" s="263" t="s">
        <v>200</v>
      </c>
      <c r="Z30" s="259">
        <v>5.78</v>
      </c>
      <c r="AA30" s="259">
        <v>5.78</v>
      </c>
      <c r="AB30" s="263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3" customWidth="1"/>
  </cols>
  <sheetData>
    <row r="1" spans="1:25" ht="21.7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2"/>
    </row>
    <row r="2" spans="1:23" ht="14.25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54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7"/>
      <c r="S3" s="198"/>
      <c r="T3" s="59" t="s">
        <v>207</v>
      </c>
      <c r="U3" s="56"/>
      <c r="V3" s="57"/>
      <c r="W3" s="6" t="s">
        <v>77</v>
      </c>
      <c r="X3" s="6" t="s">
        <v>78</v>
      </c>
      <c r="Y3" s="205"/>
    </row>
    <row r="4" spans="1:28" ht="25.5">
      <c r="A4" s="53"/>
      <c r="B4" s="53"/>
      <c r="C4" s="108"/>
      <c r="D4" s="109"/>
      <c r="E4" s="53"/>
      <c r="F4" s="53"/>
      <c r="G4" s="53"/>
      <c r="H4" s="6" t="s">
        <v>14</v>
      </c>
      <c r="I4" s="6" t="s">
        <v>15</v>
      </c>
      <c r="J4" s="6" t="s">
        <v>106</v>
      </c>
      <c r="K4" s="6" t="s">
        <v>14</v>
      </c>
      <c r="L4" s="6" t="s">
        <v>15</v>
      </c>
      <c r="M4" s="6" t="s">
        <v>106</v>
      </c>
      <c r="N4" s="6" t="s">
        <v>14</v>
      </c>
      <c r="O4" s="6" t="s">
        <v>15</v>
      </c>
      <c r="P4" s="6" t="s">
        <v>106</v>
      </c>
      <c r="Q4" s="6" t="s">
        <v>14</v>
      </c>
      <c r="R4" s="6" t="s">
        <v>15</v>
      </c>
      <c r="S4" s="6" t="s">
        <v>106</v>
      </c>
      <c r="T4" s="6" t="s">
        <v>14</v>
      </c>
      <c r="U4" s="6" t="s">
        <v>15</v>
      </c>
      <c r="V4" s="6" t="s">
        <v>106</v>
      </c>
      <c r="W4" s="9"/>
      <c r="X4" s="9"/>
      <c r="Z4" s="6" t="s">
        <v>14</v>
      </c>
      <c r="AA4" s="6" t="s">
        <v>15</v>
      </c>
      <c r="AB4" s="6" t="s">
        <v>106</v>
      </c>
    </row>
    <row r="5" spans="1:28" s="2" customFormat="1" ht="23.25" customHeight="1">
      <c r="A5" s="5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7" t="s">
        <v>21</v>
      </c>
      <c r="H5" s="22" t="e">
        <f>H6*0.8+H7*0.2</f>
        <v>#REF!</v>
      </c>
      <c r="I5" s="22" t="e">
        <f>I6*0.8+I7*0.2</f>
        <v>#REF!</v>
      </c>
      <c r="J5" s="29"/>
      <c r="K5" s="224"/>
      <c r="L5" s="224"/>
      <c r="M5" s="224"/>
      <c r="N5" s="55"/>
      <c r="O5" s="30"/>
      <c r="P5" s="29"/>
      <c r="Q5" s="224"/>
      <c r="R5" s="224"/>
      <c r="S5" s="224"/>
      <c r="T5" s="55"/>
      <c r="U5" s="30"/>
      <c r="V5" s="29"/>
      <c r="W5" s="22" t="e">
        <f>AVERAGE(H5,N5,Q5,T5)</f>
        <v>#REF!</v>
      </c>
      <c r="X5" s="22" t="e">
        <f>AVERAGE(I5,O5,R5,U5)</f>
        <v>#REF!</v>
      </c>
      <c r="Y5" s="206"/>
      <c r="Z5" s="30">
        <f>Z6*0.8+Z7*0.2</f>
        <v>3920</v>
      </c>
      <c r="AA5" s="30"/>
      <c r="AB5" s="29"/>
    </row>
    <row r="6" spans="1:28" s="3" customFormat="1" ht="25.5">
      <c r="A6" s="53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 t="e">
        <f>#REF!+28</f>
        <v>#REF!</v>
      </c>
      <c r="I6" s="30" t="e">
        <f>(H6+27)*1.015</f>
        <v>#REF!</v>
      </c>
      <c r="J6" s="31"/>
      <c r="K6" s="225"/>
      <c r="L6" s="225"/>
      <c r="M6" s="225"/>
      <c r="N6" s="58"/>
      <c r="O6" s="23"/>
      <c r="P6" s="34"/>
      <c r="Q6" s="220"/>
      <c r="R6" s="220"/>
      <c r="S6" s="220"/>
      <c r="T6" s="58"/>
      <c r="U6" s="23"/>
      <c r="V6" s="34"/>
      <c r="W6" s="30" t="e">
        <f aca="true" t="shared" si="0" ref="W6:W23">AVERAGE(H6,N6,Q6,T6)</f>
        <v>#REF!</v>
      </c>
      <c r="X6" s="30" t="e">
        <f aca="true" t="shared" si="1" ref="X6:X31">AVERAGE(I6,O6,R6,U6)</f>
        <v>#REF!</v>
      </c>
      <c r="Y6" s="238"/>
      <c r="Z6" s="23">
        <v>3950</v>
      </c>
      <c r="AA6" s="23"/>
      <c r="AB6" s="102" t="s">
        <v>208</v>
      </c>
    </row>
    <row r="7" spans="1:28" ht="15.75" customHeight="1">
      <c r="A7" s="53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23" t="e">
        <f>#REF!+28</f>
        <v>#REF!</v>
      </c>
      <c r="I7" s="30" t="e">
        <f>(H7+27)*1.015</f>
        <v>#REF!</v>
      </c>
      <c r="J7" s="32" t="s">
        <v>89</v>
      </c>
      <c r="K7" s="226"/>
      <c r="L7" s="226"/>
      <c r="M7" s="226"/>
      <c r="N7" s="58"/>
      <c r="O7" s="23"/>
      <c r="P7" s="34"/>
      <c r="Q7" s="220"/>
      <c r="R7" s="220"/>
      <c r="S7" s="220"/>
      <c r="T7" s="58"/>
      <c r="U7" s="23"/>
      <c r="V7" s="34"/>
      <c r="W7" s="30" t="e">
        <f t="shared" si="0"/>
        <v>#REF!</v>
      </c>
      <c r="X7" s="30" t="e">
        <f t="shared" si="1"/>
        <v>#REF!</v>
      </c>
      <c r="Y7" s="238"/>
      <c r="Z7" s="23">
        <v>3800</v>
      </c>
      <c r="AA7" s="23"/>
      <c r="AB7" s="102" t="s">
        <v>89</v>
      </c>
    </row>
    <row r="8" spans="1:28" s="2" customFormat="1" ht="36" customHeight="1">
      <c r="A8" s="5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24" t="e">
        <f>H9*0.03+H10*0.38+H11*0.27+H12*0.32</f>
        <v>#REF!</v>
      </c>
      <c r="I8" s="22" t="e">
        <f>I9*0.03+I10*0.38+I11*0.27+I12*0.32</f>
        <v>#REF!</v>
      </c>
      <c r="J8" s="33"/>
      <c r="K8" s="227"/>
      <c r="L8" s="227"/>
      <c r="M8" s="227"/>
      <c r="N8" s="55"/>
      <c r="O8" s="30"/>
      <c r="P8" s="29"/>
      <c r="Q8" s="224"/>
      <c r="R8" s="224"/>
      <c r="S8" s="224"/>
      <c r="T8" s="55"/>
      <c r="U8" s="30"/>
      <c r="V8" s="29"/>
      <c r="W8" s="22" t="e">
        <f t="shared" si="0"/>
        <v>#REF!</v>
      </c>
      <c r="X8" s="22" t="e">
        <f t="shared" si="1"/>
        <v>#REF!</v>
      </c>
      <c r="Y8" s="206"/>
      <c r="Z8" s="23">
        <f>Z9*0.03+Z10*0.38+Z11*0.27+Z12*0.32</f>
        <v>3653</v>
      </c>
      <c r="AA8" s="30"/>
      <c r="AB8" s="29"/>
    </row>
    <row r="9" spans="1:28" ht="15" customHeight="1">
      <c r="A9" s="53">
        <v>5</v>
      </c>
      <c r="B9" s="9"/>
      <c r="C9" s="9"/>
      <c r="D9" s="10" t="s">
        <v>29</v>
      </c>
      <c r="E9" s="9"/>
      <c r="F9" s="10" t="s">
        <v>30</v>
      </c>
      <c r="G9" s="9" t="s">
        <v>21</v>
      </c>
      <c r="H9" s="23" t="e">
        <f>#REF!+28</f>
        <v>#REF!</v>
      </c>
      <c r="I9" s="30" t="e">
        <f>(H9+27)*1.015</f>
        <v>#REF!</v>
      </c>
      <c r="J9" s="32" t="s">
        <v>90</v>
      </c>
      <c r="K9" s="226"/>
      <c r="L9" s="226"/>
      <c r="M9" s="226"/>
      <c r="N9" s="58"/>
      <c r="O9" s="23"/>
      <c r="P9" s="34"/>
      <c r="Q9" s="220"/>
      <c r="R9" s="220"/>
      <c r="S9" s="220"/>
      <c r="T9" s="58"/>
      <c r="U9" s="23"/>
      <c r="V9" s="34"/>
      <c r="W9" s="30" t="e">
        <f t="shared" si="0"/>
        <v>#REF!</v>
      </c>
      <c r="X9" s="30" t="e">
        <f t="shared" si="1"/>
        <v>#REF!</v>
      </c>
      <c r="Y9" s="238"/>
      <c r="Z9" s="23">
        <v>3830</v>
      </c>
      <c r="AA9" s="23"/>
      <c r="AB9" s="102" t="s">
        <v>90</v>
      </c>
    </row>
    <row r="10" spans="1:28" ht="15" customHeight="1">
      <c r="A10" s="53">
        <v>6</v>
      </c>
      <c r="B10" s="9"/>
      <c r="C10" s="9"/>
      <c r="D10" s="10" t="s">
        <v>29</v>
      </c>
      <c r="E10" s="9"/>
      <c r="F10" s="10" t="s">
        <v>31</v>
      </c>
      <c r="G10" s="9" t="s">
        <v>21</v>
      </c>
      <c r="H10" s="23" t="e">
        <f>#REF!+28</f>
        <v>#REF!</v>
      </c>
      <c r="I10" s="30" t="e">
        <f>(H10+27)*1.015</f>
        <v>#REF!</v>
      </c>
      <c r="J10" s="32" t="s">
        <v>90</v>
      </c>
      <c r="K10" s="226"/>
      <c r="L10" s="226"/>
      <c r="M10" s="226"/>
      <c r="N10" s="58"/>
      <c r="O10" s="23"/>
      <c r="P10" s="34"/>
      <c r="Q10" s="220"/>
      <c r="R10" s="220"/>
      <c r="S10" s="220"/>
      <c r="T10" s="58"/>
      <c r="U10" s="23"/>
      <c r="V10" s="34"/>
      <c r="W10" s="30" t="e">
        <f t="shared" si="0"/>
        <v>#REF!</v>
      </c>
      <c r="X10" s="30" t="e">
        <f t="shared" si="1"/>
        <v>#REF!</v>
      </c>
      <c r="Y10" s="238"/>
      <c r="Z10" s="23">
        <v>3630</v>
      </c>
      <c r="AA10" s="23"/>
      <c r="AB10" s="102" t="s">
        <v>90</v>
      </c>
    </row>
    <row r="11" spans="1:28" ht="15" customHeight="1">
      <c r="A11" s="53">
        <v>7</v>
      </c>
      <c r="B11" s="9"/>
      <c r="C11" s="9"/>
      <c r="D11" s="10" t="s">
        <v>29</v>
      </c>
      <c r="E11" s="9"/>
      <c r="F11" s="10" t="s">
        <v>32</v>
      </c>
      <c r="G11" s="9" t="s">
        <v>21</v>
      </c>
      <c r="H11" s="23" t="e">
        <f>#REF!+28</f>
        <v>#REF!</v>
      </c>
      <c r="I11" s="30" t="e">
        <f>(H11+27)*1.015</f>
        <v>#REF!</v>
      </c>
      <c r="J11" s="32" t="s">
        <v>90</v>
      </c>
      <c r="K11" s="226"/>
      <c r="L11" s="226"/>
      <c r="M11" s="226"/>
      <c r="N11" s="58"/>
      <c r="O11" s="23"/>
      <c r="P11" s="34"/>
      <c r="Q11" s="220"/>
      <c r="R11" s="220"/>
      <c r="S11" s="220"/>
      <c r="T11" s="58"/>
      <c r="U11" s="23"/>
      <c r="V11" s="34"/>
      <c r="W11" s="30" t="e">
        <f t="shared" si="0"/>
        <v>#REF!</v>
      </c>
      <c r="X11" s="30" t="e">
        <f t="shared" si="1"/>
        <v>#REF!</v>
      </c>
      <c r="Y11" s="238"/>
      <c r="Z11" s="23">
        <v>3610</v>
      </c>
      <c r="AA11" s="23"/>
      <c r="AB11" s="102" t="s">
        <v>90</v>
      </c>
    </row>
    <row r="12" spans="1:28" ht="15" customHeight="1">
      <c r="A12" s="53">
        <v>8</v>
      </c>
      <c r="B12" s="9"/>
      <c r="C12" s="9"/>
      <c r="D12" s="10" t="s">
        <v>29</v>
      </c>
      <c r="E12" s="9"/>
      <c r="F12" s="10" t="s">
        <v>33</v>
      </c>
      <c r="G12" s="9" t="s">
        <v>21</v>
      </c>
      <c r="H12" s="23" t="e">
        <f>#REF!+28</f>
        <v>#REF!</v>
      </c>
      <c r="I12" s="30" t="e">
        <f>(H12+27)*1.015</f>
        <v>#REF!</v>
      </c>
      <c r="J12" s="32" t="s">
        <v>90</v>
      </c>
      <c r="K12" s="226"/>
      <c r="L12" s="226"/>
      <c r="M12" s="226"/>
      <c r="N12" s="58"/>
      <c r="O12" s="23"/>
      <c r="P12" s="34"/>
      <c r="Q12" s="220"/>
      <c r="R12" s="220"/>
      <c r="S12" s="220"/>
      <c r="T12" s="58"/>
      <c r="U12" s="23"/>
      <c r="V12" s="34"/>
      <c r="W12" s="30" t="e">
        <f t="shared" si="0"/>
        <v>#REF!</v>
      </c>
      <c r="X12" s="30" t="e">
        <f t="shared" si="1"/>
        <v>#REF!</v>
      </c>
      <c r="Y12" s="238"/>
      <c r="Z12" s="23">
        <v>3700</v>
      </c>
      <c r="AA12" s="23"/>
      <c r="AB12" s="102" t="s">
        <v>90</v>
      </c>
    </row>
    <row r="13" spans="1:28" s="2" customFormat="1" ht="24" customHeight="1">
      <c r="A13" s="5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24" t="e">
        <f>H14*0.27+H15*0.67+H16*0.06</f>
        <v>#REF!</v>
      </c>
      <c r="I13" s="24" t="e">
        <f>I14*0.27+I15*0.67+I16*0.06</f>
        <v>#REF!</v>
      </c>
      <c r="J13" s="33"/>
      <c r="K13" s="33"/>
      <c r="L13" s="33"/>
      <c r="M13" s="33"/>
      <c r="N13" s="23"/>
      <c r="O13" s="23"/>
      <c r="P13" s="23"/>
      <c r="Q13" s="23"/>
      <c r="R13" s="23"/>
      <c r="S13" s="23"/>
      <c r="T13" s="23"/>
      <c r="U13" s="23"/>
      <c r="V13" s="23"/>
      <c r="W13" s="22" t="e">
        <f t="shared" si="0"/>
        <v>#REF!</v>
      </c>
      <c r="X13" s="22" t="e">
        <f t="shared" si="1"/>
        <v>#REF!</v>
      </c>
      <c r="Y13" s="206"/>
      <c r="Z13" s="23">
        <f>Z14*0.27+Z15*0.67+Z16*0.06</f>
        <v>3721.3</v>
      </c>
      <c r="AA13" s="23"/>
      <c r="AB13" s="23"/>
    </row>
    <row r="14" spans="1:28" ht="15" customHeight="1">
      <c r="A14" s="53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23" t="e">
        <f>#REF!+28</f>
        <v>#REF!</v>
      </c>
      <c r="I14" s="30" t="e">
        <f>(H14+27)*1.015</f>
        <v>#REF!</v>
      </c>
      <c r="J14" s="32" t="s">
        <v>91</v>
      </c>
      <c r="K14" s="226"/>
      <c r="L14" s="226"/>
      <c r="M14" s="226"/>
      <c r="N14" s="58"/>
      <c r="O14" s="23"/>
      <c r="P14" s="34"/>
      <c r="Q14" s="220"/>
      <c r="R14" s="220"/>
      <c r="S14" s="220"/>
      <c r="T14" s="58"/>
      <c r="U14" s="23"/>
      <c r="V14" s="34"/>
      <c r="W14" s="30" t="e">
        <f t="shared" si="0"/>
        <v>#REF!</v>
      </c>
      <c r="X14" s="30" t="e">
        <f t="shared" si="1"/>
        <v>#REF!</v>
      </c>
      <c r="Y14" s="238"/>
      <c r="Z14" s="23">
        <v>3650</v>
      </c>
      <c r="AA14" s="23"/>
      <c r="AB14" s="102" t="s">
        <v>91</v>
      </c>
    </row>
    <row r="15" spans="1:28" ht="15" customHeight="1">
      <c r="A15" s="53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23" t="e">
        <f>#REF!+28</f>
        <v>#REF!</v>
      </c>
      <c r="I15" s="30" t="e">
        <f>(H15+27)*1.015</f>
        <v>#REF!</v>
      </c>
      <c r="J15" s="32" t="s">
        <v>92</v>
      </c>
      <c r="K15" s="226"/>
      <c r="L15" s="226"/>
      <c r="M15" s="226"/>
      <c r="N15" s="58"/>
      <c r="O15" s="23"/>
      <c r="P15" s="34"/>
      <c r="Q15" s="220"/>
      <c r="R15" s="220"/>
      <c r="S15" s="220"/>
      <c r="T15" s="58"/>
      <c r="U15" s="23"/>
      <c r="V15" s="34"/>
      <c r="W15" s="30" t="e">
        <f t="shared" si="0"/>
        <v>#REF!</v>
      </c>
      <c r="X15" s="30" t="e">
        <f t="shared" si="1"/>
        <v>#REF!</v>
      </c>
      <c r="Y15" s="238"/>
      <c r="Z15" s="23">
        <v>3760</v>
      </c>
      <c r="AA15" s="23"/>
      <c r="AB15" s="102" t="s">
        <v>92</v>
      </c>
    </row>
    <row r="16" spans="1:28" ht="15" customHeight="1">
      <c r="A16" s="53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23" t="e">
        <f>#REF!+28</f>
        <v>#REF!</v>
      </c>
      <c r="I16" s="30" t="e">
        <f>(H16+27)*1.015</f>
        <v>#REF!</v>
      </c>
      <c r="J16" s="32" t="s">
        <v>91</v>
      </c>
      <c r="K16" s="226"/>
      <c r="L16" s="226"/>
      <c r="M16" s="226"/>
      <c r="N16" s="58"/>
      <c r="O16" s="23"/>
      <c r="P16" s="34"/>
      <c r="Q16" s="220"/>
      <c r="R16" s="220"/>
      <c r="S16" s="220"/>
      <c r="T16" s="58"/>
      <c r="U16" s="23"/>
      <c r="V16" s="34"/>
      <c r="W16" s="30" t="e">
        <f t="shared" si="0"/>
        <v>#REF!</v>
      </c>
      <c r="X16" s="30" t="e">
        <f t="shared" si="1"/>
        <v>#REF!</v>
      </c>
      <c r="Y16" s="238"/>
      <c r="Z16" s="23">
        <v>3610</v>
      </c>
      <c r="AA16" s="23"/>
      <c r="AB16" s="102" t="s">
        <v>91</v>
      </c>
    </row>
    <row r="17" spans="1:28" ht="15" customHeight="1">
      <c r="A17" s="53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23" t="e">
        <f>#REF!+28</f>
        <v>#REF!</v>
      </c>
      <c r="I17" s="30" t="e">
        <f>(H17+27)*1.015</f>
        <v>#REF!</v>
      </c>
      <c r="J17" s="32" t="s">
        <v>91</v>
      </c>
      <c r="K17" s="226"/>
      <c r="L17" s="226"/>
      <c r="M17" s="226"/>
      <c r="N17" s="58"/>
      <c r="O17" s="23"/>
      <c r="P17" s="34"/>
      <c r="Q17" s="220"/>
      <c r="R17" s="220"/>
      <c r="S17" s="220"/>
      <c r="T17" s="58"/>
      <c r="U17" s="23"/>
      <c r="V17" s="34"/>
      <c r="W17" s="30" t="e">
        <f t="shared" si="0"/>
        <v>#REF!</v>
      </c>
      <c r="X17" s="30" t="e">
        <f t="shared" si="1"/>
        <v>#REF!</v>
      </c>
      <c r="Y17" s="238"/>
      <c r="Z17" s="23">
        <v>4680</v>
      </c>
      <c r="AA17" s="23"/>
      <c r="AB17" s="102" t="s">
        <v>91</v>
      </c>
    </row>
    <row r="18" spans="1:28" s="2" customFormat="1" ht="36.75">
      <c r="A18" s="5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24" t="e">
        <f>H19*0.6+H20*0.2+H21*0.2</f>
        <v>#REF!</v>
      </c>
      <c r="I18" s="24" t="e">
        <f>I19*0.6+I20*0.2+I21*0.2</f>
        <v>#REF!</v>
      </c>
      <c r="J18" s="157"/>
      <c r="K18" s="157"/>
      <c r="L18" s="157"/>
      <c r="M18" s="157"/>
      <c r="N18" s="24"/>
      <c r="O18" s="24"/>
      <c r="P18" s="29"/>
      <c r="Q18" s="224"/>
      <c r="R18" s="224"/>
      <c r="S18" s="224"/>
      <c r="T18" s="55"/>
      <c r="U18" s="24"/>
      <c r="V18" s="29"/>
      <c r="W18" s="22" t="e">
        <f t="shared" si="0"/>
        <v>#REF!</v>
      </c>
      <c r="X18" s="22" t="e">
        <f t="shared" si="1"/>
        <v>#REF!</v>
      </c>
      <c r="Y18" s="206"/>
      <c r="Z18" s="23">
        <f>Z19*0.6+Z20*0.2+Z21*0.2</f>
        <v>4356</v>
      </c>
      <c r="AA18" s="24"/>
      <c r="AB18" s="24"/>
    </row>
    <row r="19" spans="1:28" ht="16.5" customHeight="1">
      <c r="A19" s="53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23" t="e">
        <f>#REF!+28</f>
        <v>#REF!</v>
      </c>
      <c r="I19" s="30" t="e">
        <f>(H19+27)*1.015</f>
        <v>#REF!</v>
      </c>
      <c r="J19" s="31" t="s">
        <v>93</v>
      </c>
      <c r="K19" s="225"/>
      <c r="L19" s="225"/>
      <c r="M19" s="225"/>
      <c r="N19" s="58"/>
      <c r="O19" s="23"/>
      <c r="P19" s="34"/>
      <c r="Q19" s="220"/>
      <c r="R19" s="220"/>
      <c r="S19" s="220"/>
      <c r="T19" s="58"/>
      <c r="U19" s="23"/>
      <c r="V19" s="34"/>
      <c r="W19" s="30" t="e">
        <f t="shared" si="0"/>
        <v>#REF!</v>
      </c>
      <c r="X19" s="30" t="e">
        <f t="shared" si="1"/>
        <v>#REF!</v>
      </c>
      <c r="Y19" s="238"/>
      <c r="Z19" s="23">
        <v>3900</v>
      </c>
      <c r="AA19" s="23"/>
      <c r="AB19" s="102" t="s">
        <v>209</v>
      </c>
    </row>
    <row r="20" spans="1:28" ht="16.5" customHeight="1">
      <c r="A20" s="53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23" t="e">
        <f>#REF!+28</f>
        <v>#REF!</v>
      </c>
      <c r="I20" s="30" t="e">
        <f>(H20+27)*1.015</f>
        <v>#REF!</v>
      </c>
      <c r="J20" s="31" t="s">
        <v>93</v>
      </c>
      <c r="K20" s="225"/>
      <c r="L20" s="225"/>
      <c r="M20" s="225"/>
      <c r="N20" s="58"/>
      <c r="O20" s="34"/>
      <c r="P20" s="34"/>
      <c r="Q20" s="220"/>
      <c r="R20" s="220"/>
      <c r="S20" s="220"/>
      <c r="T20" s="58"/>
      <c r="U20" s="34"/>
      <c r="V20" s="34"/>
      <c r="W20" s="30" t="e">
        <f t="shared" si="0"/>
        <v>#REF!</v>
      </c>
      <c r="X20" s="30" t="e">
        <f t="shared" si="1"/>
        <v>#REF!</v>
      </c>
      <c r="Y20" s="238"/>
      <c r="Z20" s="34">
        <v>5230</v>
      </c>
      <c r="AA20" s="34"/>
      <c r="AB20" s="102" t="s">
        <v>210</v>
      </c>
    </row>
    <row r="21" spans="1:28" ht="16.5" customHeight="1">
      <c r="A21" s="53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23" t="e">
        <f>#REF!+28</f>
        <v>#REF!</v>
      </c>
      <c r="I21" s="30" t="e">
        <f>(H21+27)*1.015</f>
        <v>#REF!</v>
      </c>
      <c r="J21" s="228" t="s">
        <v>108</v>
      </c>
      <c r="K21" s="229"/>
      <c r="L21" s="229"/>
      <c r="M21" s="229"/>
      <c r="N21" s="58"/>
      <c r="O21" s="23"/>
      <c r="P21" s="34"/>
      <c r="Q21" s="220"/>
      <c r="R21" s="220"/>
      <c r="S21" s="220"/>
      <c r="T21" s="58"/>
      <c r="U21" s="23"/>
      <c r="V21" s="34"/>
      <c r="W21" s="30" t="e">
        <f t="shared" si="0"/>
        <v>#REF!</v>
      </c>
      <c r="X21" s="30" t="e">
        <f t="shared" si="1"/>
        <v>#REF!</v>
      </c>
      <c r="Y21" s="238"/>
      <c r="Z21" s="23">
        <v>4850</v>
      </c>
      <c r="AA21" s="23"/>
      <c r="AB21" s="102" t="s">
        <v>94</v>
      </c>
    </row>
    <row r="22" spans="1:28" ht="16.5" customHeight="1">
      <c r="A22" s="53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 t="e">
        <f>#REF!+28</f>
        <v>#REF!</v>
      </c>
      <c r="I22" s="30" t="e">
        <f>(H22+27)*1.015</f>
        <v>#REF!</v>
      </c>
      <c r="J22" s="228"/>
      <c r="K22" s="229"/>
      <c r="L22" s="229"/>
      <c r="M22" s="229"/>
      <c r="N22" s="58"/>
      <c r="O22" s="23"/>
      <c r="P22" s="34"/>
      <c r="Q22" s="220"/>
      <c r="R22" s="220"/>
      <c r="S22" s="220"/>
      <c r="T22" s="58"/>
      <c r="U22" s="23"/>
      <c r="V22" s="34"/>
      <c r="W22" s="30" t="e">
        <f t="shared" si="0"/>
        <v>#REF!</v>
      </c>
      <c r="X22" s="30" t="e">
        <f t="shared" si="1"/>
        <v>#REF!</v>
      </c>
      <c r="Y22" s="238"/>
      <c r="Z22" s="23">
        <v>6500</v>
      </c>
      <c r="AA22" s="23"/>
      <c r="AB22" s="102" t="s">
        <v>193</v>
      </c>
    </row>
    <row r="23" spans="1:28" ht="16.5" customHeight="1">
      <c r="A23" s="53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 t="e">
        <f>#REF!+28</f>
        <v>#REF!</v>
      </c>
      <c r="I23" s="30" t="e">
        <f>(H23+27)*1.015</f>
        <v>#REF!</v>
      </c>
      <c r="J23" s="230"/>
      <c r="K23" s="231"/>
      <c r="L23" s="231"/>
      <c r="M23" s="231"/>
      <c r="N23" s="58"/>
      <c r="O23" s="23"/>
      <c r="P23" s="34"/>
      <c r="Q23" s="220"/>
      <c r="R23" s="220"/>
      <c r="S23" s="220"/>
      <c r="T23" s="58"/>
      <c r="U23" s="23"/>
      <c r="V23" s="34"/>
      <c r="W23" s="30" t="e">
        <f t="shared" si="0"/>
        <v>#REF!</v>
      </c>
      <c r="X23" s="30" t="e">
        <f t="shared" si="1"/>
        <v>#REF!</v>
      </c>
      <c r="Y23" s="238"/>
      <c r="Z23" s="23">
        <v>5150</v>
      </c>
      <c r="AA23" s="23"/>
      <c r="AB23" s="102" t="s">
        <v>193</v>
      </c>
    </row>
    <row r="24" spans="1:25" s="2" customFormat="1" ht="24" customHeight="1">
      <c r="A24" s="7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24">
        <f>H26*0.75+H28*0.25</f>
        <v>246.75</v>
      </c>
      <c r="I24" s="24">
        <f>I26*0.75+I28*0.25</f>
        <v>263.20726249999996</v>
      </c>
      <c r="J24" s="232"/>
      <c r="K24" s="24">
        <f>K26*0.75+K28*0.25</f>
        <v>287.5</v>
      </c>
      <c r="L24" s="24">
        <f>L26*0.75+L28*0.25</f>
        <v>304.982125</v>
      </c>
      <c r="M24" s="232"/>
      <c r="N24" s="22">
        <f>N26*0.75+N28*0.25</f>
        <v>259.5</v>
      </c>
      <c r="O24" s="24">
        <f>O26*0.75+O28*0.25</f>
        <v>276.277925</v>
      </c>
      <c r="P24" s="29"/>
      <c r="Q24" s="29">
        <f>Q26*0.75+Q28*0.25</f>
        <v>211</v>
      </c>
      <c r="R24" s="24">
        <f>R26*0.75+R28*0.25</f>
        <v>231.89556249999998</v>
      </c>
      <c r="S24" s="29"/>
      <c r="T24" s="22">
        <f>T26*0.75+T28*0.25</f>
        <v>256.75</v>
      </c>
      <c r="U24" s="24">
        <f>U26*0.75+U28*0.25</f>
        <v>273.4587625</v>
      </c>
      <c r="V24" s="29"/>
      <c r="W24" s="22">
        <f aca="true" t="shared" si="2" ref="W24:X28">(H24+K24+N24+Q24+T24)/5</f>
        <v>252.3</v>
      </c>
      <c r="X24" s="22">
        <f t="shared" si="2"/>
        <v>269.96432749999997</v>
      </c>
      <c r="Y24" s="206"/>
    </row>
    <row r="25" spans="1:25" ht="15" customHeight="1">
      <c r="A25" s="9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58">
        <v>254</v>
      </c>
      <c r="I25" s="23">
        <f>(H25+10)*1.015*1.01</f>
        <v>270.6396</v>
      </c>
      <c r="J25" s="194" t="s">
        <v>211</v>
      </c>
      <c r="K25" s="233">
        <v>295</v>
      </c>
      <c r="L25" s="23">
        <f>(K25+10)*1.015*1.01</f>
        <v>312.67075</v>
      </c>
      <c r="M25" s="194" t="s">
        <v>211</v>
      </c>
      <c r="N25" s="235">
        <v>264</v>
      </c>
      <c r="O25" s="220">
        <f>(N25+10)*1.015*1.01</f>
        <v>280.89109999999994</v>
      </c>
      <c r="P25" s="194" t="s">
        <v>211</v>
      </c>
      <c r="Q25" s="236">
        <v>232</v>
      </c>
      <c r="R25" s="23">
        <f>(Q25+10)*1.025*1.01</f>
        <v>250.5305</v>
      </c>
      <c r="S25" s="194" t="s">
        <v>211</v>
      </c>
      <c r="T25" s="58">
        <v>268</v>
      </c>
      <c r="U25" s="23">
        <f>(T25+10)*1.015*1.01</f>
        <v>284.9917</v>
      </c>
      <c r="V25" s="194" t="s">
        <v>212</v>
      </c>
      <c r="W25" s="30">
        <f t="shared" si="2"/>
        <v>262.6</v>
      </c>
      <c r="X25" s="30">
        <f t="shared" si="2"/>
        <v>279.94473</v>
      </c>
      <c r="Y25" s="238"/>
    </row>
    <row r="26" spans="1:25" ht="15" customHeight="1">
      <c r="A26" s="9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58">
        <v>235</v>
      </c>
      <c r="I26" s="23">
        <f>(H26+10)*1.015*1.01</f>
        <v>251.16174999999998</v>
      </c>
      <c r="J26" s="194" t="s">
        <v>211</v>
      </c>
      <c r="K26" s="233">
        <v>280</v>
      </c>
      <c r="L26" s="23">
        <f>(K26+10)*1.015*1.01</f>
        <v>297.2935</v>
      </c>
      <c r="M26" s="194" t="s">
        <v>211</v>
      </c>
      <c r="N26" s="235">
        <v>250</v>
      </c>
      <c r="O26" s="220">
        <f>(N26+10)*1.015*1.01</f>
        <v>266.539</v>
      </c>
      <c r="P26" s="194" t="s">
        <v>211</v>
      </c>
      <c r="Q26" s="236">
        <v>213</v>
      </c>
      <c r="R26" s="23">
        <f>(Q26+10)*1.025*1.01</f>
        <v>230.86075</v>
      </c>
      <c r="S26" s="194" t="s">
        <v>211</v>
      </c>
      <c r="T26" s="58">
        <v>253</v>
      </c>
      <c r="U26" s="23">
        <f>(T26+10)*1.015*1.01</f>
        <v>269.61445</v>
      </c>
      <c r="V26" s="194" t="s">
        <v>212</v>
      </c>
      <c r="W26" s="30">
        <f t="shared" si="2"/>
        <v>246.2</v>
      </c>
      <c r="X26" s="30">
        <f t="shared" si="2"/>
        <v>263.09389</v>
      </c>
      <c r="Y26" s="238"/>
    </row>
    <row r="27" spans="1:25" ht="15" customHeight="1">
      <c r="A27" s="9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223">
        <v>295</v>
      </c>
      <c r="I27" s="23">
        <f>(H27+10)*1.015*1.01</f>
        <v>312.67075</v>
      </c>
      <c r="J27" s="194" t="s">
        <v>211</v>
      </c>
      <c r="K27" s="233">
        <v>325</v>
      </c>
      <c r="L27" s="23">
        <f>(K27+10)*1.015*1.01</f>
        <v>343.42525</v>
      </c>
      <c r="M27" s="194" t="s">
        <v>211</v>
      </c>
      <c r="N27" s="235">
        <v>298</v>
      </c>
      <c r="O27" s="220">
        <f>(N27+10)*1.015*1.01</f>
        <v>315.74619999999993</v>
      </c>
      <c r="P27" s="194" t="s">
        <v>211</v>
      </c>
      <c r="Q27" s="236">
        <v>241</v>
      </c>
      <c r="R27" s="23">
        <f>(Q27+10)*1.025*1.01</f>
        <v>259.84774999999996</v>
      </c>
      <c r="S27" s="194" t="s">
        <v>211</v>
      </c>
      <c r="T27" s="58">
        <v>292</v>
      </c>
      <c r="U27" s="23">
        <f>(T27+10)*1.015*1.01</f>
        <v>309.59529999999995</v>
      </c>
      <c r="V27" s="194" t="s">
        <v>212</v>
      </c>
      <c r="W27" s="30">
        <f t="shared" si="2"/>
        <v>290.2</v>
      </c>
      <c r="X27" s="30">
        <f t="shared" si="2"/>
        <v>308.25705</v>
      </c>
      <c r="Y27" s="238"/>
    </row>
    <row r="28" spans="1:25" ht="15" customHeight="1">
      <c r="A28" s="9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223">
        <v>282</v>
      </c>
      <c r="I28" s="23">
        <f>(H28+10)*1.015*1.01</f>
        <v>299.3438</v>
      </c>
      <c r="J28" s="194" t="s">
        <v>211</v>
      </c>
      <c r="K28" s="234">
        <v>310</v>
      </c>
      <c r="L28" s="23">
        <f>(K28+10)*1.015*1.01</f>
        <v>328.04799999999994</v>
      </c>
      <c r="M28" s="194" t="s">
        <v>211</v>
      </c>
      <c r="N28" s="235">
        <v>288</v>
      </c>
      <c r="O28" s="220">
        <f>(N28+10)*1.015*1.01</f>
        <v>305.49469999999997</v>
      </c>
      <c r="P28" s="194" t="s">
        <v>211</v>
      </c>
      <c r="Q28" s="236">
        <v>205</v>
      </c>
      <c r="R28" s="23">
        <v>235</v>
      </c>
      <c r="S28" s="194" t="s">
        <v>211</v>
      </c>
      <c r="T28" s="58">
        <v>268</v>
      </c>
      <c r="U28" s="23">
        <f>(T28+10)*1.015*1.01</f>
        <v>284.9917</v>
      </c>
      <c r="V28" s="194" t="s">
        <v>212</v>
      </c>
      <c r="W28" s="30">
        <f t="shared" si="2"/>
        <v>270.6</v>
      </c>
      <c r="X28" s="30">
        <f t="shared" si="2"/>
        <v>290.57563999999996</v>
      </c>
      <c r="Y28" s="238"/>
    </row>
    <row r="29" spans="1:25" ht="15" customHeight="1" hidden="1">
      <c r="A29" s="9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147"/>
      <c r="I29" s="38">
        <v>6.37</v>
      </c>
      <c r="J29" s="95" t="s">
        <v>165</v>
      </c>
      <c r="K29" s="95"/>
      <c r="L29" s="95"/>
      <c r="M29" s="95"/>
      <c r="N29" s="147"/>
      <c r="O29" s="38">
        <v>6.37</v>
      </c>
      <c r="P29" s="95" t="s">
        <v>165</v>
      </c>
      <c r="Q29" s="147"/>
      <c r="R29" s="38">
        <v>6.37</v>
      </c>
      <c r="S29" s="95" t="s">
        <v>165</v>
      </c>
      <c r="T29" s="147"/>
      <c r="U29" s="38">
        <v>6.37</v>
      </c>
      <c r="V29" s="95" t="s">
        <v>165</v>
      </c>
      <c r="W29" s="42"/>
      <c r="X29" s="42">
        <f t="shared" si="1"/>
        <v>6.37</v>
      </c>
      <c r="Y29" s="237"/>
    </row>
    <row r="30" spans="1:25" ht="15" customHeight="1" hidden="1">
      <c r="A30" s="9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147"/>
      <c r="I30" s="38">
        <v>6.75</v>
      </c>
      <c r="J30" s="95" t="s">
        <v>165</v>
      </c>
      <c r="K30" s="95"/>
      <c r="L30" s="95"/>
      <c r="M30" s="95"/>
      <c r="N30" s="147"/>
      <c r="O30" s="38">
        <v>6.75</v>
      </c>
      <c r="P30" s="95" t="s">
        <v>165</v>
      </c>
      <c r="Q30" s="147"/>
      <c r="R30" s="38">
        <v>6.75</v>
      </c>
      <c r="S30" s="95" t="s">
        <v>165</v>
      </c>
      <c r="T30" s="147"/>
      <c r="U30" s="38">
        <v>6.75</v>
      </c>
      <c r="V30" s="95" t="s">
        <v>165</v>
      </c>
      <c r="W30" s="42"/>
      <c r="X30" s="42">
        <f t="shared" si="1"/>
        <v>6.75</v>
      </c>
      <c r="Y30" s="237"/>
    </row>
    <row r="31" spans="1:25" ht="15" customHeight="1" hidden="1">
      <c r="A31" s="9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147"/>
      <c r="I31" s="38">
        <v>5.75</v>
      </c>
      <c r="J31" s="95" t="s">
        <v>165</v>
      </c>
      <c r="K31" s="95"/>
      <c r="L31" s="95"/>
      <c r="M31" s="95"/>
      <c r="N31" s="147"/>
      <c r="O31" s="38">
        <v>5.75</v>
      </c>
      <c r="P31" s="95" t="s">
        <v>165</v>
      </c>
      <c r="Q31" s="147"/>
      <c r="R31" s="38">
        <v>5.75</v>
      </c>
      <c r="S31" s="95" t="s">
        <v>165</v>
      </c>
      <c r="T31" s="147"/>
      <c r="U31" s="38">
        <v>5.75</v>
      </c>
      <c r="V31" s="95" t="s">
        <v>165</v>
      </c>
      <c r="W31" s="42"/>
      <c r="X31" s="42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3" customWidth="1"/>
  </cols>
  <sheetData>
    <row r="1" spans="1:25" ht="21.7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2"/>
    </row>
    <row r="2" spans="1:23" ht="14.25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54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7"/>
      <c r="S3" s="198"/>
      <c r="T3" s="59" t="s">
        <v>207</v>
      </c>
      <c r="U3" s="56"/>
      <c r="V3" s="57"/>
      <c r="W3" s="6" t="s">
        <v>77</v>
      </c>
      <c r="X3" s="6" t="s">
        <v>78</v>
      </c>
      <c r="Y3" s="43" t="s">
        <v>80</v>
      </c>
    </row>
    <row r="4" spans="1:28" ht="25.5">
      <c r="A4" s="53"/>
      <c r="B4" s="53"/>
      <c r="C4" s="108"/>
      <c r="D4" s="109"/>
      <c r="E4" s="53"/>
      <c r="F4" s="53"/>
      <c r="G4" s="53"/>
      <c r="H4" s="6" t="s">
        <v>14</v>
      </c>
      <c r="I4" s="6" t="s">
        <v>15</v>
      </c>
      <c r="J4" s="6" t="s">
        <v>106</v>
      </c>
      <c r="K4" s="6" t="s">
        <v>14</v>
      </c>
      <c r="L4" s="6" t="s">
        <v>15</v>
      </c>
      <c r="M4" s="6" t="s">
        <v>106</v>
      </c>
      <c r="N4" s="6" t="s">
        <v>14</v>
      </c>
      <c r="O4" s="6" t="s">
        <v>15</v>
      </c>
      <c r="P4" s="6" t="s">
        <v>106</v>
      </c>
      <c r="Q4" s="6" t="s">
        <v>14</v>
      </c>
      <c r="R4" s="6" t="s">
        <v>15</v>
      </c>
      <c r="S4" s="6" t="s">
        <v>106</v>
      </c>
      <c r="T4" s="6" t="s">
        <v>14</v>
      </c>
      <c r="U4" s="6" t="s">
        <v>15</v>
      </c>
      <c r="V4" s="6" t="s">
        <v>106</v>
      </c>
      <c r="W4" s="9"/>
      <c r="X4" s="9"/>
      <c r="Y4" s="43"/>
      <c r="Z4" s="198" t="s">
        <v>14</v>
      </c>
      <c r="AA4" s="6" t="s">
        <v>15</v>
      </c>
      <c r="AB4" s="6" t="s">
        <v>106</v>
      </c>
    </row>
    <row r="5" spans="1:28" s="2" customFormat="1" ht="23.25" customHeight="1">
      <c r="A5" s="5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7" t="s">
        <v>21</v>
      </c>
      <c r="H5" s="22" t="e">
        <f>H6*0.8+H7*0.2</f>
        <v>#REF!</v>
      </c>
      <c r="I5" s="22" t="e">
        <f>I6*0.8+I7*0.2</f>
        <v>#REF!</v>
      </c>
      <c r="J5" s="29"/>
      <c r="K5" s="224"/>
      <c r="L5" s="224"/>
      <c r="M5" s="224"/>
      <c r="N5" s="55"/>
      <c r="O5" s="30"/>
      <c r="P5" s="29"/>
      <c r="Q5" s="224"/>
      <c r="R5" s="224"/>
      <c r="S5" s="224"/>
      <c r="T5" s="55"/>
      <c r="U5" s="30"/>
      <c r="V5" s="29"/>
      <c r="W5" s="22" t="e">
        <f>AVERAGE(H5,N5,Q5,T5)</f>
        <v>#REF!</v>
      </c>
      <c r="X5" s="22" t="e">
        <f>AVERAGE(I5,O5,R5,U5)</f>
        <v>#REF!</v>
      </c>
      <c r="Y5" s="44">
        <v>17</v>
      </c>
      <c r="Z5" s="58">
        <f>Z6*0.8+Z7*0.2</f>
        <v>3920</v>
      </c>
      <c r="AA5" s="30"/>
      <c r="AB5" s="29"/>
    </row>
    <row r="6" spans="1:28" s="3" customFormat="1" ht="25.5">
      <c r="A6" s="53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 t="e">
        <f>#REF!+28</f>
        <v>#REF!</v>
      </c>
      <c r="I6" s="30" t="e">
        <f>(H6+27)*1.015</f>
        <v>#REF!</v>
      </c>
      <c r="J6" s="31"/>
      <c r="K6" s="225"/>
      <c r="L6" s="225"/>
      <c r="M6" s="225"/>
      <c r="N6" s="58"/>
      <c r="O6" s="23"/>
      <c r="P6" s="34"/>
      <c r="Q6" s="220"/>
      <c r="R6" s="220"/>
      <c r="S6" s="220"/>
      <c r="T6" s="58"/>
      <c r="U6" s="23"/>
      <c r="V6" s="34"/>
      <c r="W6" s="30" t="e">
        <f aca="true" t="shared" si="0" ref="W6:X23">AVERAGE(H6,N6,Q6,T6)</f>
        <v>#REF!</v>
      </c>
      <c r="X6" s="30" t="e">
        <f t="shared" si="0"/>
        <v>#REF!</v>
      </c>
      <c r="Y6" s="45">
        <v>17</v>
      </c>
      <c r="Z6" s="218">
        <v>3950</v>
      </c>
      <c r="AA6" s="23"/>
      <c r="AB6" s="102" t="s">
        <v>208</v>
      </c>
    </row>
    <row r="7" spans="1:28" ht="15.75" customHeight="1">
      <c r="A7" s="53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23" t="e">
        <f>#REF!+28</f>
        <v>#REF!</v>
      </c>
      <c r="I7" s="30" t="e">
        <f>(H7+27)*1.015</f>
        <v>#REF!</v>
      </c>
      <c r="J7" s="32" t="s">
        <v>89</v>
      </c>
      <c r="K7" s="226"/>
      <c r="L7" s="226"/>
      <c r="M7" s="226"/>
      <c r="N7" s="58"/>
      <c r="O7" s="23"/>
      <c r="P7" s="34"/>
      <c r="Q7" s="220"/>
      <c r="R7" s="220"/>
      <c r="S7" s="220"/>
      <c r="T7" s="58"/>
      <c r="U7" s="23"/>
      <c r="V7" s="34"/>
      <c r="W7" s="30" t="e">
        <f t="shared" si="0"/>
        <v>#REF!</v>
      </c>
      <c r="X7" s="30" t="e">
        <f t="shared" si="0"/>
        <v>#REF!</v>
      </c>
      <c r="Y7" s="45">
        <v>17</v>
      </c>
      <c r="Z7" s="218">
        <v>3800</v>
      </c>
      <c r="AA7" s="23"/>
      <c r="AB7" s="102" t="s">
        <v>89</v>
      </c>
    </row>
    <row r="8" spans="1:28" s="2" customFormat="1" ht="36" customHeight="1">
      <c r="A8" s="5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24" t="e">
        <f>H9*0.03+H10*0.38+H11*0.27+H12*0.32</f>
        <v>#REF!</v>
      </c>
      <c r="I8" s="22" t="e">
        <f>I9*0.03+I10*0.38+I11*0.27+I12*0.32</f>
        <v>#REF!</v>
      </c>
      <c r="J8" s="33"/>
      <c r="K8" s="227"/>
      <c r="L8" s="227"/>
      <c r="M8" s="227"/>
      <c r="N8" s="55"/>
      <c r="O8" s="30"/>
      <c r="P8" s="29"/>
      <c r="Q8" s="224"/>
      <c r="R8" s="224"/>
      <c r="S8" s="224"/>
      <c r="T8" s="55"/>
      <c r="U8" s="30"/>
      <c r="V8" s="29"/>
      <c r="W8" s="22" t="e">
        <f t="shared" si="0"/>
        <v>#REF!</v>
      </c>
      <c r="X8" s="22" t="e">
        <f t="shared" si="0"/>
        <v>#REF!</v>
      </c>
      <c r="Y8" s="44">
        <v>17</v>
      </c>
      <c r="Z8" s="218">
        <f>Z9*0.03+Z10*0.38+Z11*0.27+Z12*0.32</f>
        <v>3653</v>
      </c>
      <c r="AA8" s="30"/>
      <c r="AB8" s="29"/>
    </row>
    <row r="9" spans="1:28" ht="15" customHeight="1">
      <c r="A9" s="53">
        <v>5</v>
      </c>
      <c r="B9" s="9"/>
      <c r="C9" s="9"/>
      <c r="D9" s="10" t="s">
        <v>29</v>
      </c>
      <c r="E9" s="9"/>
      <c r="F9" s="10" t="s">
        <v>30</v>
      </c>
      <c r="G9" s="9" t="s">
        <v>21</v>
      </c>
      <c r="H9" s="23" t="e">
        <f>#REF!+28</f>
        <v>#REF!</v>
      </c>
      <c r="I9" s="30" t="e">
        <f>(H9+27)*1.015</f>
        <v>#REF!</v>
      </c>
      <c r="J9" s="32" t="s">
        <v>90</v>
      </c>
      <c r="K9" s="226"/>
      <c r="L9" s="226"/>
      <c r="M9" s="226"/>
      <c r="N9" s="58"/>
      <c r="O9" s="23"/>
      <c r="P9" s="34"/>
      <c r="Q9" s="220"/>
      <c r="R9" s="220"/>
      <c r="S9" s="220"/>
      <c r="T9" s="58"/>
      <c r="U9" s="23"/>
      <c r="V9" s="34"/>
      <c r="W9" s="30" t="e">
        <f t="shared" si="0"/>
        <v>#REF!</v>
      </c>
      <c r="X9" s="30" t="e">
        <f t="shared" si="0"/>
        <v>#REF!</v>
      </c>
      <c r="Y9" s="45">
        <v>17</v>
      </c>
      <c r="Z9" s="218">
        <v>3830</v>
      </c>
      <c r="AA9" s="23"/>
      <c r="AB9" s="102" t="s">
        <v>90</v>
      </c>
    </row>
    <row r="10" spans="1:28" ht="15" customHeight="1">
      <c r="A10" s="53">
        <v>6</v>
      </c>
      <c r="B10" s="9"/>
      <c r="C10" s="9"/>
      <c r="D10" s="10" t="s">
        <v>29</v>
      </c>
      <c r="E10" s="9"/>
      <c r="F10" s="10" t="s">
        <v>31</v>
      </c>
      <c r="G10" s="9" t="s">
        <v>21</v>
      </c>
      <c r="H10" s="23" t="e">
        <f>#REF!+28</f>
        <v>#REF!</v>
      </c>
      <c r="I10" s="30" t="e">
        <f>(H10+27)*1.015</f>
        <v>#REF!</v>
      </c>
      <c r="J10" s="32" t="s">
        <v>90</v>
      </c>
      <c r="K10" s="226"/>
      <c r="L10" s="226"/>
      <c r="M10" s="226"/>
      <c r="N10" s="58"/>
      <c r="O10" s="23"/>
      <c r="P10" s="34"/>
      <c r="Q10" s="220"/>
      <c r="R10" s="220"/>
      <c r="S10" s="220"/>
      <c r="T10" s="58"/>
      <c r="U10" s="23"/>
      <c r="V10" s="34"/>
      <c r="W10" s="30" t="e">
        <f t="shared" si="0"/>
        <v>#REF!</v>
      </c>
      <c r="X10" s="30" t="e">
        <f t="shared" si="0"/>
        <v>#REF!</v>
      </c>
      <c r="Y10" s="45">
        <v>17</v>
      </c>
      <c r="Z10" s="218">
        <v>3630</v>
      </c>
      <c r="AA10" s="23"/>
      <c r="AB10" s="102" t="s">
        <v>90</v>
      </c>
    </row>
    <row r="11" spans="1:28" ht="15" customHeight="1">
      <c r="A11" s="53">
        <v>7</v>
      </c>
      <c r="B11" s="9"/>
      <c r="C11" s="9"/>
      <c r="D11" s="10" t="s">
        <v>29</v>
      </c>
      <c r="E11" s="9"/>
      <c r="F11" s="10" t="s">
        <v>32</v>
      </c>
      <c r="G11" s="9" t="s">
        <v>21</v>
      </c>
      <c r="H11" s="23" t="e">
        <f>#REF!+28</f>
        <v>#REF!</v>
      </c>
      <c r="I11" s="30" t="e">
        <f>(H11+27)*1.015</f>
        <v>#REF!</v>
      </c>
      <c r="J11" s="32" t="s">
        <v>90</v>
      </c>
      <c r="K11" s="226"/>
      <c r="L11" s="226"/>
      <c r="M11" s="226"/>
      <c r="N11" s="58"/>
      <c r="O11" s="23"/>
      <c r="P11" s="34"/>
      <c r="Q11" s="220"/>
      <c r="R11" s="220"/>
      <c r="S11" s="220"/>
      <c r="T11" s="58"/>
      <c r="U11" s="23"/>
      <c r="V11" s="34"/>
      <c r="W11" s="30" t="e">
        <f t="shared" si="0"/>
        <v>#REF!</v>
      </c>
      <c r="X11" s="30" t="e">
        <f t="shared" si="0"/>
        <v>#REF!</v>
      </c>
      <c r="Y11" s="45">
        <v>17</v>
      </c>
      <c r="Z11" s="218">
        <v>3610</v>
      </c>
      <c r="AA11" s="23"/>
      <c r="AB11" s="102" t="s">
        <v>90</v>
      </c>
    </row>
    <row r="12" spans="1:28" ht="15" customHeight="1">
      <c r="A12" s="53">
        <v>8</v>
      </c>
      <c r="B12" s="9"/>
      <c r="C12" s="9"/>
      <c r="D12" s="10" t="s">
        <v>29</v>
      </c>
      <c r="E12" s="9"/>
      <c r="F12" s="10" t="s">
        <v>33</v>
      </c>
      <c r="G12" s="9" t="s">
        <v>21</v>
      </c>
      <c r="H12" s="23" t="e">
        <f>#REF!+28</f>
        <v>#REF!</v>
      </c>
      <c r="I12" s="30" t="e">
        <f>(H12+27)*1.015</f>
        <v>#REF!</v>
      </c>
      <c r="J12" s="32" t="s">
        <v>90</v>
      </c>
      <c r="K12" s="226"/>
      <c r="L12" s="226"/>
      <c r="M12" s="226"/>
      <c r="N12" s="58"/>
      <c r="O12" s="23"/>
      <c r="P12" s="34"/>
      <c r="Q12" s="220"/>
      <c r="R12" s="220"/>
      <c r="S12" s="220"/>
      <c r="T12" s="58"/>
      <c r="U12" s="23"/>
      <c r="V12" s="34"/>
      <c r="W12" s="30" t="e">
        <f t="shared" si="0"/>
        <v>#REF!</v>
      </c>
      <c r="X12" s="30" t="e">
        <f t="shared" si="0"/>
        <v>#REF!</v>
      </c>
      <c r="Y12" s="45">
        <v>17</v>
      </c>
      <c r="Z12" s="218">
        <v>3700</v>
      </c>
      <c r="AA12" s="23"/>
      <c r="AB12" s="102" t="s">
        <v>90</v>
      </c>
    </row>
    <row r="13" spans="1:28" s="2" customFormat="1" ht="24" customHeight="1">
      <c r="A13" s="5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24" t="e">
        <f>H14*0.27+H15*0.67+H16*0.06</f>
        <v>#REF!</v>
      </c>
      <c r="I13" s="24" t="e">
        <f>I14*0.27+I15*0.67+I16*0.06</f>
        <v>#REF!</v>
      </c>
      <c r="J13" s="33"/>
      <c r="K13" s="33"/>
      <c r="L13" s="33"/>
      <c r="M13" s="33"/>
      <c r="N13" s="23"/>
      <c r="O13" s="23"/>
      <c r="P13" s="23"/>
      <c r="Q13" s="23"/>
      <c r="R13" s="23"/>
      <c r="S13" s="23"/>
      <c r="T13" s="23"/>
      <c r="U13" s="23"/>
      <c r="V13" s="23"/>
      <c r="W13" s="22" t="e">
        <f t="shared" si="0"/>
        <v>#REF!</v>
      </c>
      <c r="X13" s="22" t="e">
        <f t="shared" si="0"/>
        <v>#REF!</v>
      </c>
      <c r="Y13" s="45">
        <v>17</v>
      </c>
      <c r="Z13" s="218">
        <f>Z14*0.27+Z15*0.67+Z16*0.06</f>
        <v>3721.3</v>
      </c>
      <c r="AA13" s="23"/>
      <c r="AB13" s="23"/>
    </row>
    <row r="14" spans="1:28" ht="15" customHeight="1">
      <c r="A14" s="53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23" t="e">
        <f>#REF!+28</f>
        <v>#REF!</v>
      </c>
      <c r="I14" s="30" t="e">
        <f>(H14+27)*1.015</f>
        <v>#REF!</v>
      </c>
      <c r="J14" s="32" t="s">
        <v>91</v>
      </c>
      <c r="K14" s="226"/>
      <c r="L14" s="226"/>
      <c r="M14" s="226"/>
      <c r="N14" s="58"/>
      <c r="O14" s="23"/>
      <c r="P14" s="34"/>
      <c r="Q14" s="220"/>
      <c r="R14" s="220"/>
      <c r="S14" s="220"/>
      <c r="T14" s="58"/>
      <c r="U14" s="23"/>
      <c r="V14" s="34"/>
      <c r="W14" s="30" t="e">
        <f t="shared" si="0"/>
        <v>#REF!</v>
      </c>
      <c r="X14" s="30" t="e">
        <f t="shared" si="0"/>
        <v>#REF!</v>
      </c>
      <c r="Y14" s="45">
        <v>17</v>
      </c>
      <c r="Z14" s="218">
        <v>3650</v>
      </c>
      <c r="AA14" s="23"/>
      <c r="AB14" s="102" t="s">
        <v>91</v>
      </c>
    </row>
    <row r="15" spans="1:28" ht="15" customHeight="1">
      <c r="A15" s="53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23" t="e">
        <f>#REF!+28</f>
        <v>#REF!</v>
      </c>
      <c r="I15" s="30" t="e">
        <f>(H15+27)*1.015</f>
        <v>#REF!</v>
      </c>
      <c r="J15" s="32" t="s">
        <v>92</v>
      </c>
      <c r="K15" s="226"/>
      <c r="L15" s="226"/>
      <c r="M15" s="226"/>
      <c r="N15" s="58"/>
      <c r="O15" s="23"/>
      <c r="P15" s="34"/>
      <c r="Q15" s="220"/>
      <c r="R15" s="220"/>
      <c r="S15" s="220"/>
      <c r="T15" s="58"/>
      <c r="U15" s="23"/>
      <c r="V15" s="34"/>
      <c r="W15" s="30" t="e">
        <f t="shared" si="0"/>
        <v>#REF!</v>
      </c>
      <c r="X15" s="30" t="e">
        <f t="shared" si="0"/>
        <v>#REF!</v>
      </c>
      <c r="Y15" s="45">
        <v>17</v>
      </c>
      <c r="Z15" s="218">
        <v>3760</v>
      </c>
      <c r="AA15" s="23"/>
      <c r="AB15" s="102" t="s">
        <v>92</v>
      </c>
    </row>
    <row r="16" spans="1:28" ht="15" customHeight="1">
      <c r="A16" s="53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23" t="e">
        <f>#REF!+28</f>
        <v>#REF!</v>
      </c>
      <c r="I16" s="30" t="e">
        <f>(H16+27)*1.015</f>
        <v>#REF!</v>
      </c>
      <c r="J16" s="32" t="s">
        <v>91</v>
      </c>
      <c r="K16" s="226"/>
      <c r="L16" s="226"/>
      <c r="M16" s="226"/>
      <c r="N16" s="58"/>
      <c r="O16" s="23"/>
      <c r="P16" s="34"/>
      <c r="Q16" s="220"/>
      <c r="R16" s="220"/>
      <c r="S16" s="220"/>
      <c r="T16" s="58"/>
      <c r="U16" s="23"/>
      <c r="V16" s="34"/>
      <c r="W16" s="30" t="e">
        <f t="shared" si="0"/>
        <v>#REF!</v>
      </c>
      <c r="X16" s="30" t="e">
        <f t="shared" si="0"/>
        <v>#REF!</v>
      </c>
      <c r="Y16" s="45">
        <v>17</v>
      </c>
      <c r="Z16" s="218">
        <v>3610</v>
      </c>
      <c r="AA16" s="23"/>
      <c r="AB16" s="102" t="s">
        <v>91</v>
      </c>
    </row>
    <row r="17" spans="1:28" ht="15" customHeight="1">
      <c r="A17" s="53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23" t="e">
        <f>#REF!+28</f>
        <v>#REF!</v>
      </c>
      <c r="I17" s="30" t="e">
        <f>(H17+27)*1.015</f>
        <v>#REF!</v>
      </c>
      <c r="J17" s="32" t="s">
        <v>91</v>
      </c>
      <c r="K17" s="226"/>
      <c r="L17" s="226"/>
      <c r="M17" s="226"/>
      <c r="N17" s="58"/>
      <c r="O17" s="23"/>
      <c r="P17" s="34"/>
      <c r="Q17" s="220"/>
      <c r="R17" s="220"/>
      <c r="S17" s="220"/>
      <c r="T17" s="58"/>
      <c r="U17" s="23"/>
      <c r="V17" s="34"/>
      <c r="W17" s="30" t="e">
        <f t="shared" si="0"/>
        <v>#REF!</v>
      </c>
      <c r="X17" s="30" t="e">
        <f t="shared" si="0"/>
        <v>#REF!</v>
      </c>
      <c r="Y17" s="45">
        <v>17</v>
      </c>
      <c r="Z17" s="218">
        <v>4680</v>
      </c>
      <c r="AA17" s="23"/>
      <c r="AB17" s="102" t="s">
        <v>91</v>
      </c>
    </row>
    <row r="18" spans="1:28" s="2" customFormat="1" ht="36.75">
      <c r="A18" s="5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24" t="e">
        <f>H19*0.6+H20*0.2+H21*0.2</f>
        <v>#REF!</v>
      </c>
      <c r="I18" s="24" t="e">
        <f>I19*0.6+I20*0.2+I21*0.2</f>
        <v>#REF!</v>
      </c>
      <c r="J18" s="157"/>
      <c r="K18" s="157"/>
      <c r="L18" s="157"/>
      <c r="M18" s="157"/>
      <c r="N18" s="24"/>
      <c r="O18" s="24"/>
      <c r="P18" s="29"/>
      <c r="Q18" s="224"/>
      <c r="R18" s="224"/>
      <c r="S18" s="224"/>
      <c r="T18" s="55"/>
      <c r="U18" s="24"/>
      <c r="V18" s="29"/>
      <c r="W18" s="22" t="e">
        <f t="shared" si="0"/>
        <v>#REF!</v>
      </c>
      <c r="X18" s="22" t="e">
        <f t="shared" si="0"/>
        <v>#REF!</v>
      </c>
      <c r="Y18" s="45">
        <v>17</v>
      </c>
      <c r="Z18" s="218">
        <f>Z19*0.6+Z20*0.2+Z21*0.2</f>
        <v>4356</v>
      </c>
      <c r="AA18" s="24"/>
      <c r="AB18" s="24"/>
    </row>
    <row r="19" spans="1:28" ht="16.5" customHeight="1">
      <c r="A19" s="53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23" t="e">
        <f>#REF!+28</f>
        <v>#REF!</v>
      </c>
      <c r="I19" s="30" t="e">
        <f>(H19+27)*1.015</f>
        <v>#REF!</v>
      </c>
      <c r="J19" s="31" t="s">
        <v>93</v>
      </c>
      <c r="K19" s="225"/>
      <c r="L19" s="225"/>
      <c r="M19" s="225"/>
      <c r="N19" s="58"/>
      <c r="O19" s="23"/>
      <c r="P19" s="34"/>
      <c r="Q19" s="220"/>
      <c r="R19" s="220"/>
      <c r="S19" s="220"/>
      <c r="T19" s="58"/>
      <c r="U19" s="23"/>
      <c r="V19" s="34"/>
      <c r="W19" s="30" t="e">
        <f t="shared" si="0"/>
        <v>#REF!</v>
      </c>
      <c r="X19" s="30" t="e">
        <f t="shared" si="0"/>
        <v>#REF!</v>
      </c>
      <c r="Y19" s="45">
        <v>17</v>
      </c>
      <c r="Z19" s="218">
        <v>3900</v>
      </c>
      <c r="AA19" s="23"/>
      <c r="AB19" s="102" t="s">
        <v>209</v>
      </c>
    </row>
    <row r="20" spans="1:28" ht="16.5" customHeight="1">
      <c r="A20" s="53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23" t="e">
        <f>#REF!+28</f>
        <v>#REF!</v>
      </c>
      <c r="I20" s="30" t="e">
        <f>(H20+27)*1.015</f>
        <v>#REF!</v>
      </c>
      <c r="J20" s="31" t="s">
        <v>93</v>
      </c>
      <c r="K20" s="225"/>
      <c r="L20" s="225"/>
      <c r="M20" s="225"/>
      <c r="N20" s="58"/>
      <c r="O20" s="34"/>
      <c r="P20" s="34"/>
      <c r="Q20" s="220"/>
      <c r="R20" s="220"/>
      <c r="S20" s="220"/>
      <c r="T20" s="58"/>
      <c r="U20" s="34"/>
      <c r="V20" s="34"/>
      <c r="W20" s="30" t="e">
        <f t="shared" si="0"/>
        <v>#REF!</v>
      </c>
      <c r="X20" s="30" t="e">
        <f t="shared" si="0"/>
        <v>#REF!</v>
      </c>
      <c r="Y20" s="45">
        <v>17</v>
      </c>
      <c r="Z20" s="220">
        <v>5230</v>
      </c>
      <c r="AA20" s="34"/>
      <c r="AB20" s="102" t="s">
        <v>210</v>
      </c>
    </row>
    <row r="21" spans="1:28" ht="16.5" customHeight="1">
      <c r="A21" s="53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23" t="e">
        <f>#REF!+28</f>
        <v>#REF!</v>
      </c>
      <c r="I21" s="30" t="e">
        <f>(H21+27)*1.015</f>
        <v>#REF!</v>
      </c>
      <c r="J21" s="228" t="s">
        <v>108</v>
      </c>
      <c r="K21" s="229"/>
      <c r="L21" s="229"/>
      <c r="M21" s="229"/>
      <c r="N21" s="58"/>
      <c r="O21" s="23"/>
      <c r="P21" s="34"/>
      <c r="Q21" s="220"/>
      <c r="R21" s="220"/>
      <c r="S21" s="220"/>
      <c r="T21" s="58"/>
      <c r="U21" s="23"/>
      <c r="V21" s="34"/>
      <c r="W21" s="30" t="e">
        <f t="shared" si="0"/>
        <v>#REF!</v>
      </c>
      <c r="X21" s="30" t="e">
        <f t="shared" si="0"/>
        <v>#REF!</v>
      </c>
      <c r="Y21" s="45">
        <v>17</v>
      </c>
      <c r="Z21" s="218">
        <v>4850</v>
      </c>
      <c r="AA21" s="23"/>
      <c r="AB21" s="102" t="s">
        <v>94</v>
      </c>
    </row>
    <row r="22" spans="1:28" ht="16.5" customHeight="1">
      <c r="A22" s="53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 t="e">
        <f>#REF!+28</f>
        <v>#REF!</v>
      </c>
      <c r="I22" s="30" t="e">
        <f>(H22+27)*1.015</f>
        <v>#REF!</v>
      </c>
      <c r="J22" s="228"/>
      <c r="K22" s="229"/>
      <c r="L22" s="229"/>
      <c r="M22" s="229"/>
      <c r="N22" s="58"/>
      <c r="O22" s="23"/>
      <c r="P22" s="34"/>
      <c r="Q22" s="220"/>
      <c r="R22" s="220"/>
      <c r="S22" s="220"/>
      <c r="T22" s="58"/>
      <c r="U22" s="23"/>
      <c r="V22" s="34"/>
      <c r="W22" s="30" t="e">
        <f t="shared" si="0"/>
        <v>#REF!</v>
      </c>
      <c r="X22" s="30" t="e">
        <f t="shared" si="0"/>
        <v>#REF!</v>
      </c>
      <c r="Y22" s="45">
        <v>17</v>
      </c>
      <c r="Z22" s="218">
        <v>6500</v>
      </c>
      <c r="AA22" s="23"/>
      <c r="AB22" s="102" t="s">
        <v>193</v>
      </c>
    </row>
    <row r="23" spans="1:28" ht="16.5" customHeight="1">
      <c r="A23" s="53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 t="e">
        <f>#REF!+28</f>
        <v>#REF!</v>
      </c>
      <c r="I23" s="30" t="e">
        <f>(H23+27)*1.015</f>
        <v>#REF!</v>
      </c>
      <c r="J23" s="230"/>
      <c r="K23" s="231"/>
      <c r="L23" s="231"/>
      <c r="M23" s="231"/>
      <c r="N23" s="58"/>
      <c r="O23" s="23"/>
      <c r="P23" s="34"/>
      <c r="Q23" s="220"/>
      <c r="R23" s="220"/>
      <c r="S23" s="220"/>
      <c r="T23" s="58"/>
      <c r="U23" s="23"/>
      <c r="V23" s="34"/>
      <c r="W23" s="30" t="e">
        <f t="shared" si="0"/>
        <v>#REF!</v>
      </c>
      <c r="X23" s="30" t="e">
        <f t="shared" si="0"/>
        <v>#REF!</v>
      </c>
      <c r="Y23" s="45">
        <v>17</v>
      </c>
      <c r="Z23" s="218">
        <v>5150</v>
      </c>
      <c r="AA23" s="23"/>
      <c r="AB23" s="102" t="s">
        <v>193</v>
      </c>
    </row>
    <row r="24" spans="1:25" s="2" customFormat="1" ht="24" customHeight="1">
      <c r="A24" s="7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24">
        <f>H26*0.75+H28*0.25</f>
        <v>246.75</v>
      </c>
      <c r="I24" s="24">
        <f>I26*0.75+I28*0.25</f>
        <v>263.20726249999996</v>
      </c>
      <c r="J24" s="232"/>
      <c r="K24" s="24">
        <f>K26*0.75+K28*0.25</f>
        <v>287.5</v>
      </c>
      <c r="L24" s="24">
        <f>L26*0.75+L28*0.25</f>
        <v>304.982125</v>
      </c>
      <c r="M24" s="232"/>
      <c r="N24" s="22">
        <f>N26*0.75+N28*0.25</f>
        <v>259.5</v>
      </c>
      <c r="O24" s="24">
        <f>O26*0.75+O28*0.25</f>
        <v>276.277925</v>
      </c>
      <c r="P24" s="29"/>
      <c r="Q24" s="29">
        <f>Q26*0.75+Q28*0.25</f>
        <v>211</v>
      </c>
      <c r="R24" s="24">
        <f>R26*0.75+R28*0.25</f>
        <v>231.89556249999998</v>
      </c>
      <c r="S24" s="29"/>
      <c r="T24" s="22">
        <f>T26*0.75+T28*0.25</f>
        <v>256.75</v>
      </c>
      <c r="U24" s="24">
        <f>U26*0.75+U28*0.25</f>
        <v>273.4587625</v>
      </c>
      <c r="V24" s="29"/>
      <c r="W24" s="22">
        <f aca="true" t="shared" si="1" ref="W24:X28">(H24+K24+N24+Q24+T24)/5</f>
        <v>252.3</v>
      </c>
      <c r="X24" s="22">
        <f t="shared" si="1"/>
        <v>269.96432749999997</v>
      </c>
      <c r="Y24" s="45">
        <v>17</v>
      </c>
    </row>
    <row r="25" spans="1:25" ht="15" customHeight="1">
      <c r="A25" s="9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58">
        <v>254</v>
      </c>
      <c r="I25" s="23">
        <f>(H25+10)*1.015*1.01</f>
        <v>270.6396</v>
      </c>
      <c r="J25" s="194" t="s">
        <v>211</v>
      </c>
      <c r="K25" s="233">
        <v>295</v>
      </c>
      <c r="L25" s="23">
        <f>(K25+10)*1.015*1.01</f>
        <v>312.67075</v>
      </c>
      <c r="M25" s="194" t="s">
        <v>211</v>
      </c>
      <c r="N25" s="235">
        <v>264</v>
      </c>
      <c r="O25" s="220">
        <f>(N25+10)*1.015*1.01</f>
        <v>280.89109999999994</v>
      </c>
      <c r="P25" s="194" t="s">
        <v>211</v>
      </c>
      <c r="Q25" s="236">
        <v>232</v>
      </c>
      <c r="R25" s="23">
        <f>(Q25+10)*1.025*1.01</f>
        <v>250.5305</v>
      </c>
      <c r="S25" s="194" t="s">
        <v>211</v>
      </c>
      <c r="T25" s="58">
        <v>268</v>
      </c>
      <c r="U25" s="23">
        <f>(T25+10)*1.015*1.01</f>
        <v>284.9917</v>
      </c>
      <c r="V25" s="194" t="s">
        <v>212</v>
      </c>
      <c r="W25" s="30">
        <f t="shared" si="1"/>
        <v>262.6</v>
      </c>
      <c r="X25" s="30">
        <f t="shared" si="1"/>
        <v>279.94473</v>
      </c>
      <c r="Y25" s="45">
        <v>17</v>
      </c>
    </row>
    <row r="26" spans="1:25" ht="15" customHeight="1">
      <c r="A26" s="9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58">
        <v>235</v>
      </c>
      <c r="I26" s="23">
        <f>(H26+10)*1.015*1.01</f>
        <v>251.16174999999998</v>
      </c>
      <c r="J26" s="194" t="s">
        <v>211</v>
      </c>
      <c r="K26" s="233">
        <v>280</v>
      </c>
      <c r="L26" s="23">
        <f>(K26+10)*1.015*1.01</f>
        <v>297.2935</v>
      </c>
      <c r="M26" s="194" t="s">
        <v>211</v>
      </c>
      <c r="N26" s="235">
        <v>250</v>
      </c>
      <c r="O26" s="220">
        <f>(N26+10)*1.015*1.01</f>
        <v>266.539</v>
      </c>
      <c r="P26" s="194" t="s">
        <v>211</v>
      </c>
      <c r="Q26" s="236">
        <v>213</v>
      </c>
      <c r="R26" s="23">
        <f>(Q26+10)*1.025*1.01</f>
        <v>230.86075</v>
      </c>
      <c r="S26" s="194" t="s">
        <v>211</v>
      </c>
      <c r="T26" s="58">
        <v>253</v>
      </c>
      <c r="U26" s="23">
        <f>(T26+10)*1.015*1.01</f>
        <v>269.61445</v>
      </c>
      <c r="V26" s="194" t="s">
        <v>212</v>
      </c>
      <c r="W26" s="30">
        <f t="shared" si="1"/>
        <v>246.2</v>
      </c>
      <c r="X26" s="30">
        <f t="shared" si="1"/>
        <v>263.09389</v>
      </c>
      <c r="Y26" s="45">
        <v>17</v>
      </c>
    </row>
    <row r="27" spans="1:25" ht="15" customHeight="1">
      <c r="A27" s="9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223">
        <v>295</v>
      </c>
      <c r="I27" s="23">
        <f>(H27+10)*1.015*1.01</f>
        <v>312.67075</v>
      </c>
      <c r="J27" s="194" t="s">
        <v>211</v>
      </c>
      <c r="K27" s="233">
        <v>325</v>
      </c>
      <c r="L27" s="23">
        <f>(K27+10)*1.015*1.01</f>
        <v>343.42525</v>
      </c>
      <c r="M27" s="194" t="s">
        <v>211</v>
      </c>
      <c r="N27" s="235">
        <v>298</v>
      </c>
      <c r="O27" s="220">
        <f>(N27+10)*1.015*1.01</f>
        <v>315.74619999999993</v>
      </c>
      <c r="P27" s="194" t="s">
        <v>211</v>
      </c>
      <c r="Q27" s="236">
        <v>241</v>
      </c>
      <c r="R27" s="23">
        <f>(Q27+10)*1.025*1.01</f>
        <v>259.84774999999996</v>
      </c>
      <c r="S27" s="194" t="s">
        <v>211</v>
      </c>
      <c r="T27" s="58">
        <v>292</v>
      </c>
      <c r="U27" s="23">
        <f>(T27+10)*1.015*1.01</f>
        <v>309.59529999999995</v>
      </c>
      <c r="V27" s="194" t="s">
        <v>212</v>
      </c>
      <c r="W27" s="30">
        <f t="shared" si="1"/>
        <v>290.2</v>
      </c>
      <c r="X27" s="30">
        <f t="shared" si="1"/>
        <v>308.25705</v>
      </c>
      <c r="Y27" s="45">
        <v>17</v>
      </c>
    </row>
    <row r="28" spans="1:25" ht="15" customHeight="1">
      <c r="A28" s="9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223">
        <v>282</v>
      </c>
      <c r="I28" s="23">
        <f>(H28+10)*1.015*1.01</f>
        <v>299.3438</v>
      </c>
      <c r="J28" s="194" t="s">
        <v>211</v>
      </c>
      <c r="K28" s="234">
        <v>310</v>
      </c>
      <c r="L28" s="23">
        <f>(K28+10)*1.015*1.01</f>
        <v>328.04799999999994</v>
      </c>
      <c r="M28" s="194" t="s">
        <v>211</v>
      </c>
      <c r="N28" s="235">
        <v>288</v>
      </c>
      <c r="O28" s="220">
        <f>(N28+10)*1.015*1.01</f>
        <v>305.49469999999997</v>
      </c>
      <c r="P28" s="194" t="s">
        <v>211</v>
      </c>
      <c r="Q28" s="236">
        <v>205</v>
      </c>
      <c r="R28" s="23">
        <v>235</v>
      </c>
      <c r="S28" s="194" t="s">
        <v>211</v>
      </c>
      <c r="T28" s="58">
        <v>268</v>
      </c>
      <c r="U28" s="23">
        <f>(T28+10)*1.015*1.01</f>
        <v>284.9917</v>
      </c>
      <c r="V28" s="194" t="s">
        <v>212</v>
      </c>
      <c r="W28" s="30">
        <f t="shared" si="1"/>
        <v>270.6</v>
      </c>
      <c r="X28" s="30">
        <f t="shared" si="1"/>
        <v>290.57563999999996</v>
      </c>
      <c r="Y28" s="45">
        <v>17</v>
      </c>
    </row>
    <row r="29" spans="1:25" ht="15" customHeight="1" hidden="1">
      <c r="A29" s="9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147"/>
      <c r="I29" s="38">
        <v>6.37</v>
      </c>
      <c r="J29" s="95" t="s">
        <v>165</v>
      </c>
      <c r="K29" s="95"/>
      <c r="L29" s="95"/>
      <c r="M29" s="95"/>
      <c r="N29" s="147"/>
      <c r="O29" s="38">
        <v>6.37</v>
      </c>
      <c r="P29" s="95" t="s">
        <v>165</v>
      </c>
      <c r="Q29" s="147"/>
      <c r="R29" s="38">
        <v>6.37</v>
      </c>
      <c r="S29" s="95" t="s">
        <v>165</v>
      </c>
      <c r="T29" s="147"/>
      <c r="U29" s="38">
        <v>6.37</v>
      </c>
      <c r="V29" s="95" t="s">
        <v>165</v>
      </c>
      <c r="W29" s="42"/>
      <c r="X29" s="42">
        <f>AVERAGE(I29,O29,R29,U29)</f>
        <v>6.37</v>
      </c>
      <c r="Y29" s="237"/>
    </row>
    <row r="30" spans="1:25" ht="15" customHeight="1" hidden="1">
      <c r="A30" s="9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147"/>
      <c r="I30" s="38">
        <v>6.75</v>
      </c>
      <c r="J30" s="95" t="s">
        <v>165</v>
      </c>
      <c r="K30" s="95"/>
      <c r="L30" s="95"/>
      <c r="M30" s="95"/>
      <c r="N30" s="147"/>
      <c r="O30" s="38">
        <v>6.75</v>
      </c>
      <c r="P30" s="95" t="s">
        <v>165</v>
      </c>
      <c r="Q30" s="147"/>
      <c r="R30" s="38">
        <v>6.75</v>
      </c>
      <c r="S30" s="95" t="s">
        <v>165</v>
      </c>
      <c r="T30" s="147"/>
      <c r="U30" s="38">
        <v>6.75</v>
      </c>
      <c r="V30" s="95" t="s">
        <v>165</v>
      </c>
      <c r="W30" s="42"/>
      <c r="X30" s="42">
        <f>AVERAGE(I30,O30,R30,U30)</f>
        <v>6.75</v>
      </c>
      <c r="Y30" s="237"/>
    </row>
    <row r="31" spans="1:25" ht="15" customHeight="1" hidden="1">
      <c r="A31" s="9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147"/>
      <c r="I31" s="38">
        <v>5.75</v>
      </c>
      <c r="J31" s="95" t="s">
        <v>165</v>
      </c>
      <c r="K31" s="95"/>
      <c r="L31" s="95"/>
      <c r="M31" s="95"/>
      <c r="N31" s="147"/>
      <c r="O31" s="38">
        <v>5.75</v>
      </c>
      <c r="P31" s="95" t="s">
        <v>165</v>
      </c>
      <c r="Q31" s="147"/>
      <c r="R31" s="38">
        <v>5.75</v>
      </c>
      <c r="S31" s="95" t="s">
        <v>165</v>
      </c>
      <c r="T31" s="147"/>
      <c r="U31" s="38">
        <v>5.75</v>
      </c>
      <c r="V31" s="95" t="s">
        <v>165</v>
      </c>
      <c r="W31" s="42"/>
      <c r="X31" s="42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3" bestFit="1" customWidth="1"/>
    <col min="21" max="32" width="9.00390625" style="173" customWidth="1"/>
    <col min="33" max="16384" width="8.75390625" style="173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19"/>
      <c r="C3" s="19"/>
      <c r="D3" s="19"/>
      <c r="E3" s="19"/>
      <c r="F3" s="19"/>
      <c r="G3" s="19"/>
      <c r="H3" s="19"/>
      <c r="I3" s="19"/>
      <c r="J3" s="5"/>
      <c r="K3" s="19"/>
      <c r="L3" s="19"/>
      <c r="M3" s="19"/>
      <c r="N3" s="39"/>
      <c r="O3" s="39"/>
      <c r="P3" s="39"/>
      <c r="Q3" s="39"/>
      <c r="R3" s="39"/>
      <c r="S3" s="3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7"/>
      <c r="S4" s="198"/>
    </row>
    <row r="5" spans="1:21" s="187" customFormat="1" ht="18" customHeight="1">
      <c r="A5" s="53"/>
      <c r="B5" s="53"/>
      <c r="C5" s="108"/>
      <c r="D5" s="109"/>
      <c r="E5" s="53"/>
      <c r="F5" s="53"/>
      <c r="G5" s="53"/>
      <c r="H5" s="80" t="s">
        <v>14</v>
      </c>
      <c r="I5" s="80" t="s">
        <v>15</v>
      </c>
      <c r="J5" s="80" t="s">
        <v>106</v>
      </c>
      <c r="K5" s="80" t="s">
        <v>14</v>
      </c>
      <c r="L5" s="80" t="s">
        <v>15</v>
      </c>
      <c r="M5" s="80" t="s">
        <v>106</v>
      </c>
      <c r="N5" s="80" t="s">
        <v>14</v>
      </c>
      <c r="O5" s="80" t="s">
        <v>15</v>
      </c>
      <c r="P5" s="80" t="s">
        <v>106</v>
      </c>
      <c r="Q5" s="80" t="s">
        <v>14</v>
      </c>
      <c r="R5" s="80" t="s">
        <v>15</v>
      </c>
      <c r="S5" s="80" t="s">
        <v>106</v>
      </c>
      <c r="U5" s="221" t="s">
        <v>14</v>
      </c>
    </row>
    <row r="6" spans="1:23" s="188" customFormat="1" ht="23.25" customHeight="1">
      <c r="A6" s="53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7" t="s">
        <v>21</v>
      </c>
      <c r="H6" s="22" t="e">
        <f>0.8*H7+0.2*H8</f>
        <v>#REF!</v>
      </c>
      <c r="I6" s="22" t="e">
        <f>0.8*I7+0.2*I8</f>
        <v>#REF!</v>
      </c>
      <c r="J6" s="29"/>
      <c r="K6" s="55"/>
      <c r="L6" s="22" t="s">
        <v>109</v>
      </c>
      <c r="M6" s="29"/>
      <c r="N6" s="55"/>
      <c r="O6" s="22"/>
      <c r="P6" s="29"/>
      <c r="Q6" s="22" t="s">
        <v>109</v>
      </c>
      <c r="R6" s="22"/>
      <c r="S6" s="203"/>
      <c r="U6" s="213">
        <v>3940</v>
      </c>
      <c r="V6" s="213">
        <v>4038</v>
      </c>
      <c r="W6" s="36"/>
    </row>
    <row r="7" spans="1:23" ht="24.75" customHeight="1">
      <c r="A7" s="53">
        <v>2</v>
      </c>
      <c r="B7" s="9"/>
      <c r="C7" s="9"/>
      <c r="D7" s="10" t="s">
        <v>22</v>
      </c>
      <c r="E7" s="9"/>
      <c r="F7" s="10" t="s">
        <v>23</v>
      </c>
      <c r="G7" s="9" t="s">
        <v>21</v>
      </c>
      <c r="H7" s="23" t="e">
        <f>#REF!+35</f>
        <v>#REF!</v>
      </c>
      <c r="I7" s="30" t="e">
        <f>(H7+27)*1.015</f>
        <v>#REF!</v>
      </c>
      <c r="J7" s="102"/>
      <c r="K7" s="58"/>
      <c r="L7" s="23" t="s">
        <v>109</v>
      </c>
      <c r="M7" s="34"/>
      <c r="N7" s="58"/>
      <c r="O7" s="23"/>
      <c r="P7" s="34"/>
      <c r="Q7" s="30" t="s">
        <v>109</v>
      </c>
      <c r="R7" s="30"/>
      <c r="S7" s="102"/>
      <c r="U7" s="196">
        <v>3970</v>
      </c>
      <c r="V7" s="196">
        <v>4069</v>
      </c>
      <c r="W7" s="194" t="s">
        <v>208</v>
      </c>
    </row>
    <row r="8" spans="1:23" ht="15.75" customHeight="1">
      <c r="A8" s="53">
        <v>3</v>
      </c>
      <c r="B8" s="9"/>
      <c r="C8" s="9"/>
      <c r="D8" s="10" t="s">
        <v>24</v>
      </c>
      <c r="E8" s="9"/>
      <c r="F8" s="10" t="s">
        <v>25</v>
      </c>
      <c r="G8" s="9" t="s">
        <v>21</v>
      </c>
      <c r="H8" s="23" t="e">
        <f>#REF!+35</f>
        <v>#REF!</v>
      </c>
      <c r="I8" s="30" t="e">
        <f>(H8+27)*1.015</f>
        <v>#REF!</v>
      </c>
      <c r="J8" s="194" t="s">
        <v>89</v>
      </c>
      <c r="K8" s="58"/>
      <c r="L8" s="23" t="s">
        <v>109</v>
      </c>
      <c r="M8" s="34"/>
      <c r="N8" s="58"/>
      <c r="O8" s="23"/>
      <c r="P8" s="34"/>
      <c r="Q8" s="23" t="s">
        <v>109</v>
      </c>
      <c r="R8" s="23"/>
      <c r="S8" s="34" t="s">
        <v>109</v>
      </c>
      <c r="U8" s="196">
        <v>3820</v>
      </c>
      <c r="V8" s="196">
        <v>3915</v>
      </c>
      <c r="W8" s="194" t="s">
        <v>89</v>
      </c>
    </row>
    <row r="9" spans="1:23" s="188" customFormat="1" ht="33" customHeight="1">
      <c r="A9" s="53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7" t="s">
        <v>21</v>
      </c>
      <c r="H9" s="22" t="e">
        <f>0.03*H10+0.38*H11+0.27*H12+0.32*H13</f>
        <v>#REF!</v>
      </c>
      <c r="I9" s="22" t="e">
        <f>0.03*I10+0.38*I11+0.27*I12+0.32*I13</f>
        <v>#REF!</v>
      </c>
      <c r="J9" s="36"/>
      <c r="K9" s="55" t="s">
        <v>109</v>
      </c>
      <c r="L9" s="22" t="s">
        <v>109</v>
      </c>
      <c r="M9" s="29"/>
      <c r="N9" s="55"/>
      <c r="O9" s="22"/>
      <c r="P9" s="29"/>
      <c r="Q9" s="22" t="s">
        <v>109</v>
      </c>
      <c r="R9" s="22"/>
      <c r="S9" s="29" t="s">
        <v>109</v>
      </c>
      <c r="U9" s="213">
        <v>3660</v>
      </c>
      <c r="V9" s="213">
        <v>3751</v>
      </c>
      <c r="W9" s="36"/>
    </row>
    <row r="10" spans="1:23" ht="15.75" customHeight="1">
      <c r="A10" s="53">
        <v>5</v>
      </c>
      <c r="B10" s="9"/>
      <c r="C10" s="9"/>
      <c r="D10" s="10" t="s">
        <v>29</v>
      </c>
      <c r="E10" s="9"/>
      <c r="F10" s="10" t="s">
        <v>30</v>
      </c>
      <c r="G10" s="9" t="s">
        <v>21</v>
      </c>
      <c r="H10" s="23" t="e">
        <f>#REF!+35</f>
        <v>#REF!</v>
      </c>
      <c r="I10" s="30" t="e">
        <f>(H10+27)*1.015</f>
        <v>#REF!</v>
      </c>
      <c r="J10" s="194" t="s">
        <v>90</v>
      </c>
      <c r="K10" s="58"/>
      <c r="L10" s="23" t="s">
        <v>109</v>
      </c>
      <c r="M10" s="34"/>
      <c r="N10" s="58"/>
      <c r="O10" s="23"/>
      <c r="P10" s="34"/>
      <c r="Q10" s="23" t="s">
        <v>109</v>
      </c>
      <c r="R10" s="23"/>
      <c r="S10" s="34" t="s">
        <v>109</v>
      </c>
      <c r="U10" s="196">
        <v>3850</v>
      </c>
      <c r="V10" s="196">
        <v>3946</v>
      </c>
      <c r="W10" s="194" t="s">
        <v>90</v>
      </c>
    </row>
    <row r="11" spans="1:23" ht="15.75" customHeight="1">
      <c r="A11" s="53">
        <v>6</v>
      </c>
      <c r="B11" s="9"/>
      <c r="C11" s="9"/>
      <c r="D11" s="10" t="s">
        <v>29</v>
      </c>
      <c r="E11" s="9"/>
      <c r="F11" s="10" t="s">
        <v>31</v>
      </c>
      <c r="G11" s="9" t="s">
        <v>21</v>
      </c>
      <c r="H11" s="23" t="e">
        <f>#REF!+35</f>
        <v>#REF!</v>
      </c>
      <c r="I11" s="30" t="e">
        <f>(H11+27)*1.015</f>
        <v>#REF!</v>
      </c>
      <c r="J11" s="194" t="s">
        <v>90</v>
      </c>
      <c r="K11" s="58"/>
      <c r="L11" s="23" t="s">
        <v>109</v>
      </c>
      <c r="M11" s="34"/>
      <c r="N11" s="58"/>
      <c r="O11" s="23"/>
      <c r="P11" s="34"/>
      <c r="Q11" s="23" t="s">
        <v>109</v>
      </c>
      <c r="R11" s="23"/>
      <c r="S11" s="34" t="s">
        <v>109</v>
      </c>
      <c r="U11" s="196">
        <v>3650</v>
      </c>
      <c r="V11" s="196">
        <v>3741</v>
      </c>
      <c r="W11" s="194" t="s">
        <v>90</v>
      </c>
    </row>
    <row r="12" spans="1:23" ht="15.75" customHeight="1">
      <c r="A12" s="53">
        <v>7</v>
      </c>
      <c r="B12" s="9"/>
      <c r="C12" s="9"/>
      <c r="D12" s="10" t="s">
        <v>29</v>
      </c>
      <c r="E12" s="9"/>
      <c r="F12" s="10" t="s">
        <v>32</v>
      </c>
      <c r="G12" s="9" t="s">
        <v>21</v>
      </c>
      <c r="H12" s="23" t="e">
        <f>#REF!+35</f>
        <v>#REF!</v>
      </c>
      <c r="I12" s="30" t="e">
        <f>(H12+27)*1.015</f>
        <v>#REF!</v>
      </c>
      <c r="J12" s="194" t="s">
        <v>90</v>
      </c>
      <c r="K12" s="58"/>
      <c r="L12" s="23" t="s">
        <v>109</v>
      </c>
      <c r="M12" s="34"/>
      <c r="N12" s="58"/>
      <c r="O12" s="23"/>
      <c r="P12" s="34"/>
      <c r="Q12" s="23" t="s">
        <v>109</v>
      </c>
      <c r="R12" s="23"/>
      <c r="S12" s="34" t="s">
        <v>109</v>
      </c>
      <c r="U12" s="196">
        <v>3630</v>
      </c>
      <c r="V12" s="196">
        <v>3720</v>
      </c>
      <c r="W12" s="194" t="s">
        <v>90</v>
      </c>
    </row>
    <row r="13" spans="1:23" ht="15.75" customHeight="1">
      <c r="A13" s="53">
        <v>8</v>
      </c>
      <c r="B13" s="9"/>
      <c r="C13" s="9"/>
      <c r="D13" s="10" t="s">
        <v>29</v>
      </c>
      <c r="E13" s="9"/>
      <c r="F13" s="10" t="s">
        <v>33</v>
      </c>
      <c r="G13" s="9" t="s">
        <v>21</v>
      </c>
      <c r="H13" s="23" t="e">
        <f>#REF!+35</f>
        <v>#REF!</v>
      </c>
      <c r="I13" s="30" t="e">
        <f>(H13+27)*1.015</f>
        <v>#REF!</v>
      </c>
      <c r="J13" s="194" t="s">
        <v>90</v>
      </c>
      <c r="K13" s="58"/>
      <c r="L13" s="23" t="s">
        <v>109</v>
      </c>
      <c r="M13" s="34"/>
      <c r="N13" s="58"/>
      <c r="O13" s="23"/>
      <c r="P13" s="34"/>
      <c r="Q13" s="23" t="s">
        <v>109</v>
      </c>
      <c r="R13" s="23"/>
      <c r="S13" s="34" t="s">
        <v>109</v>
      </c>
      <c r="U13" s="196">
        <v>3680</v>
      </c>
      <c r="V13" s="196">
        <v>3772</v>
      </c>
      <c r="W13" s="194" t="s">
        <v>90</v>
      </c>
    </row>
    <row r="14" spans="1:23" s="188" customFormat="1" ht="23.25" customHeight="1">
      <c r="A14" s="53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7" t="s">
        <v>21</v>
      </c>
      <c r="H14" s="24" t="e">
        <f>0.27*H15+0.67*H16+0.06*H17</f>
        <v>#REF!</v>
      </c>
      <c r="I14" s="157" t="e">
        <f>I15*0.27+I16*0.67+I17*0.06</f>
        <v>#REF!</v>
      </c>
      <c r="J14" s="195"/>
      <c r="K14" s="24"/>
      <c r="L14" s="24" t="s">
        <v>109</v>
      </c>
      <c r="M14" s="24"/>
      <c r="N14" s="24"/>
      <c r="O14" s="24"/>
      <c r="P14" s="24"/>
      <c r="Q14" s="24" t="s">
        <v>109</v>
      </c>
      <c r="R14" s="24"/>
      <c r="S14" s="24"/>
      <c r="U14" s="222">
        <v>3803</v>
      </c>
      <c r="V14" s="195">
        <v>3897</v>
      </c>
      <c r="W14" s="195"/>
    </row>
    <row r="15" spans="1:23" ht="15" customHeight="1">
      <c r="A15" s="53">
        <v>10</v>
      </c>
      <c r="B15" s="9"/>
      <c r="C15" s="9"/>
      <c r="D15" s="10" t="s">
        <v>37</v>
      </c>
      <c r="E15" s="9"/>
      <c r="F15" s="13" t="s">
        <v>38</v>
      </c>
      <c r="G15" s="9" t="s">
        <v>21</v>
      </c>
      <c r="H15" s="23" t="e">
        <f>#REF!+35</f>
        <v>#REF!</v>
      </c>
      <c r="I15" s="30" t="e">
        <f>(H15+27)*1.015</f>
        <v>#REF!</v>
      </c>
      <c r="J15" s="194" t="s">
        <v>91</v>
      </c>
      <c r="K15" s="58"/>
      <c r="L15" s="23"/>
      <c r="M15" s="201"/>
      <c r="N15" s="58"/>
      <c r="O15" s="23"/>
      <c r="P15" s="34"/>
      <c r="Q15" s="23" t="s">
        <v>109</v>
      </c>
      <c r="R15" s="103"/>
      <c r="S15" s="23" t="s">
        <v>109</v>
      </c>
      <c r="U15" s="196">
        <v>3650</v>
      </c>
      <c r="V15" s="196">
        <v>3741</v>
      </c>
      <c r="W15" s="194" t="s">
        <v>91</v>
      </c>
    </row>
    <row r="16" spans="1:23" ht="15" customHeight="1">
      <c r="A16" s="53">
        <v>11</v>
      </c>
      <c r="B16" s="9"/>
      <c r="C16" s="9"/>
      <c r="D16" s="10" t="s">
        <v>39</v>
      </c>
      <c r="E16" s="9"/>
      <c r="F16" s="13" t="s">
        <v>40</v>
      </c>
      <c r="G16" s="9" t="s">
        <v>21</v>
      </c>
      <c r="H16" s="23" t="e">
        <f>#REF!+35</f>
        <v>#REF!</v>
      </c>
      <c r="I16" s="30" t="e">
        <f>(H16+27)*1.015</f>
        <v>#REF!</v>
      </c>
      <c r="J16" s="194" t="s">
        <v>92</v>
      </c>
      <c r="K16" s="58"/>
      <c r="L16" s="23"/>
      <c r="M16" s="201"/>
      <c r="N16" s="58"/>
      <c r="O16" s="23"/>
      <c r="P16" s="34"/>
      <c r="Q16" s="23" t="s">
        <v>109</v>
      </c>
      <c r="R16" s="23" t="s">
        <v>109</v>
      </c>
      <c r="S16" s="23" t="s">
        <v>109</v>
      </c>
      <c r="U16" s="196">
        <v>3880</v>
      </c>
      <c r="V16" s="196">
        <v>3977</v>
      </c>
      <c r="W16" s="194" t="s">
        <v>219</v>
      </c>
    </row>
    <row r="17" spans="1:23" ht="15" customHeight="1">
      <c r="A17" s="53">
        <v>12</v>
      </c>
      <c r="B17" s="9"/>
      <c r="C17" s="9"/>
      <c r="D17" s="10" t="s">
        <v>41</v>
      </c>
      <c r="E17" s="9"/>
      <c r="F17" s="13" t="s">
        <v>42</v>
      </c>
      <c r="G17" s="9" t="s">
        <v>21</v>
      </c>
      <c r="H17" s="23" t="e">
        <f>#REF!+35</f>
        <v>#REF!</v>
      </c>
      <c r="I17" s="30" t="e">
        <f>(H17+27)*1.015</f>
        <v>#REF!</v>
      </c>
      <c r="J17" s="194" t="s">
        <v>91</v>
      </c>
      <c r="K17" s="58"/>
      <c r="L17" s="23"/>
      <c r="M17" s="201"/>
      <c r="N17" s="58"/>
      <c r="O17" s="23"/>
      <c r="P17" s="34"/>
      <c r="Q17" s="23" t="s">
        <v>109</v>
      </c>
      <c r="R17" s="23" t="s">
        <v>109</v>
      </c>
      <c r="S17" s="23" t="s">
        <v>109</v>
      </c>
      <c r="U17" s="196">
        <v>3630</v>
      </c>
      <c r="V17" s="196">
        <v>3720</v>
      </c>
      <c r="W17" s="194" t="s">
        <v>91</v>
      </c>
    </row>
    <row r="18" spans="1:23" ht="15" customHeight="1">
      <c r="A18" s="53">
        <v>13</v>
      </c>
      <c r="B18" s="9"/>
      <c r="C18" s="6" t="s">
        <v>43</v>
      </c>
      <c r="D18" s="9"/>
      <c r="E18" s="9">
        <v>183</v>
      </c>
      <c r="F18" s="13" t="s">
        <v>44</v>
      </c>
      <c r="G18" s="9" t="s">
        <v>21</v>
      </c>
      <c r="H18" s="23" t="e">
        <f>#REF!+35</f>
        <v>#REF!</v>
      </c>
      <c r="I18" s="30" t="e">
        <f>(H18+27)*1.015</f>
        <v>#REF!</v>
      </c>
      <c r="J18" s="194" t="s">
        <v>91</v>
      </c>
      <c r="K18" s="58" t="s">
        <v>109</v>
      </c>
      <c r="L18" s="23" t="s">
        <v>109</v>
      </c>
      <c r="M18" s="201"/>
      <c r="N18" s="58"/>
      <c r="O18" s="23"/>
      <c r="P18" s="34"/>
      <c r="Q18" s="23" t="s">
        <v>109</v>
      </c>
      <c r="R18" s="23" t="s">
        <v>109</v>
      </c>
      <c r="S18" s="23" t="s">
        <v>109</v>
      </c>
      <c r="U18" s="196">
        <v>4830</v>
      </c>
      <c r="V18" s="196">
        <v>4950</v>
      </c>
      <c r="W18" s="194" t="s">
        <v>159</v>
      </c>
    </row>
    <row r="19" spans="1:23" s="188" customFormat="1" ht="22.5" customHeight="1">
      <c r="A19" s="5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7" t="s">
        <v>21</v>
      </c>
      <c r="H19" s="24" t="e">
        <f>0.6*H20+0.2*H21+0.2*H22</f>
        <v>#REF!</v>
      </c>
      <c r="I19" s="24" t="e">
        <f>0.6*I20+0.2*I21+0.2*I22</f>
        <v>#REF!</v>
      </c>
      <c r="J19" s="195"/>
      <c r="K19" s="24"/>
      <c r="L19" s="24" t="s">
        <v>109</v>
      </c>
      <c r="M19" s="29"/>
      <c r="N19" s="55"/>
      <c r="O19" s="24"/>
      <c r="P19" s="29"/>
      <c r="Q19" s="24" t="s">
        <v>109</v>
      </c>
      <c r="R19" s="24"/>
      <c r="S19" s="24" t="s">
        <v>109</v>
      </c>
      <c r="U19" s="196">
        <v>4226</v>
      </c>
      <c r="V19" s="196">
        <v>4331</v>
      </c>
      <c r="W19" s="195"/>
    </row>
    <row r="20" spans="1:23" ht="15.75" customHeight="1">
      <c r="A20" s="53">
        <v>15</v>
      </c>
      <c r="B20" s="9"/>
      <c r="C20" s="9"/>
      <c r="D20" s="10" t="s">
        <v>48</v>
      </c>
      <c r="E20" s="25"/>
      <c r="F20" s="10" t="s">
        <v>49</v>
      </c>
      <c r="G20" s="9" t="s">
        <v>21</v>
      </c>
      <c r="H20" s="23" t="e">
        <f>#REF!+35</f>
        <v>#REF!</v>
      </c>
      <c r="I20" s="30" t="e">
        <f>(H20+27)*1.015</f>
        <v>#REF!</v>
      </c>
      <c r="J20" s="194" t="s">
        <v>161</v>
      </c>
      <c r="K20" s="58"/>
      <c r="L20" s="23" t="s">
        <v>109</v>
      </c>
      <c r="M20" s="34"/>
      <c r="N20" s="58"/>
      <c r="O20" s="23"/>
      <c r="P20" s="34"/>
      <c r="Q20" s="23" t="s">
        <v>109</v>
      </c>
      <c r="R20" s="23"/>
      <c r="S20" s="34" t="s">
        <v>109</v>
      </c>
      <c r="U20" s="196">
        <v>3920</v>
      </c>
      <c r="V20" s="196">
        <v>4018</v>
      </c>
      <c r="W20" s="194" t="s">
        <v>195</v>
      </c>
    </row>
    <row r="21" spans="1:23" ht="15.75" customHeight="1">
      <c r="A21" s="53">
        <v>16</v>
      </c>
      <c r="B21" s="9"/>
      <c r="C21" s="9"/>
      <c r="D21" s="10" t="s">
        <v>50</v>
      </c>
      <c r="E21" s="25">
        <v>192</v>
      </c>
      <c r="F21" s="10" t="s">
        <v>51</v>
      </c>
      <c r="G21" s="9" t="s">
        <v>21</v>
      </c>
      <c r="H21" s="23" t="e">
        <f>#REF!+35</f>
        <v>#REF!</v>
      </c>
      <c r="I21" s="30" t="e">
        <f>(H21+27)*1.015</f>
        <v>#REF!</v>
      </c>
      <c r="J21" s="194" t="s">
        <v>210</v>
      </c>
      <c r="K21" s="58"/>
      <c r="L21" s="34" t="s">
        <v>109</v>
      </c>
      <c r="M21" s="34"/>
      <c r="N21" s="58"/>
      <c r="O21" s="34"/>
      <c r="P21" s="34"/>
      <c r="Q21" s="34" t="s">
        <v>109</v>
      </c>
      <c r="R21" s="34"/>
      <c r="S21" s="34" t="s">
        <v>109</v>
      </c>
      <c r="U21" s="217">
        <v>4720</v>
      </c>
      <c r="V21" s="217">
        <v>4838</v>
      </c>
      <c r="W21" s="194" t="s">
        <v>220</v>
      </c>
    </row>
    <row r="22" spans="1:23" ht="15.75" customHeight="1">
      <c r="A22" s="53">
        <v>17</v>
      </c>
      <c r="B22" s="9"/>
      <c r="C22" s="9"/>
      <c r="D22" s="10" t="s">
        <v>52</v>
      </c>
      <c r="E22" s="25">
        <v>191</v>
      </c>
      <c r="F22" s="10" t="s">
        <v>53</v>
      </c>
      <c r="G22" s="9" t="s">
        <v>21</v>
      </c>
      <c r="H22" s="23" t="e">
        <f>#REF!+35</f>
        <v>#REF!</v>
      </c>
      <c r="I22" s="30" t="e">
        <f>(H22+27)*1.015</f>
        <v>#REF!</v>
      </c>
      <c r="J22" s="194" t="s">
        <v>221</v>
      </c>
      <c r="K22" s="58"/>
      <c r="L22" s="23"/>
      <c r="M22" s="34"/>
      <c r="N22" s="58"/>
      <c r="O22" s="23"/>
      <c r="P22" s="34"/>
      <c r="Q22" s="23" t="s">
        <v>109</v>
      </c>
      <c r="R22" s="23"/>
      <c r="S22" s="34" t="s">
        <v>109</v>
      </c>
      <c r="U22" s="196">
        <v>4650</v>
      </c>
      <c r="V22" s="196">
        <v>4766</v>
      </c>
      <c r="W22" s="194" t="s">
        <v>94</v>
      </c>
    </row>
    <row r="23" spans="1:23" ht="15.75" customHeight="1">
      <c r="A23" s="53">
        <v>18</v>
      </c>
      <c r="B23" s="9"/>
      <c r="C23" s="10" t="s">
        <v>54</v>
      </c>
      <c r="D23" s="13"/>
      <c r="E23" s="9">
        <v>121</v>
      </c>
      <c r="F23" s="13"/>
      <c r="G23" s="9" t="s">
        <v>21</v>
      </c>
      <c r="H23" s="23" t="e">
        <f>#REF!+35</f>
        <v>#REF!</v>
      </c>
      <c r="I23" s="30" t="e">
        <f>(H23+27)*1.015</f>
        <v>#REF!</v>
      </c>
      <c r="J23" s="34"/>
      <c r="K23" s="58"/>
      <c r="L23" s="23"/>
      <c r="M23" s="34"/>
      <c r="N23" s="58"/>
      <c r="O23" s="23"/>
      <c r="P23" s="34"/>
      <c r="Q23" s="23" t="s">
        <v>109</v>
      </c>
      <c r="R23" s="23"/>
      <c r="S23" s="34"/>
      <c r="U23" s="196"/>
      <c r="V23" s="196" t="s">
        <v>109</v>
      </c>
      <c r="W23" s="217"/>
    </row>
    <row r="24" spans="1:23" ht="15.75" customHeight="1">
      <c r="A24" s="53">
        <v>19</v>
      </c>
      <c r="B24" s="9"/>
      <c r="C24" s="10" t="s">
        <v>55</v>
      </c>
      <c r="D24" s="13"/>
      <c r="E24" s="9">
        <v>125</v>
      </c>
      <c r="F24" s="10" t="s">
        <v>56</v>
      </c>
      <c r="G24" s="9" t="s">
        <v>21</v>
      </c>
      <c r="H24" s="23" t="e">
        <f>#REF!+35</f>
        <v>#REF!</v>
      </c>
      <c r="I24" s="30" t="e">
        <f>(H24+27)*1.015</f>
        <v>#REF!</v>
      </c>
      <c r="J24" s="102"/>
      <c r="K24" s="58" t="s">
        <v>109</v>
      </c>
      <c r="L24" s="23" t="s">
        <v>109</v>
      </c>
      <c r="M24" s="34"/>
      <c r="N24" s="58"/>
      <c r="O24" s="23"/>
      <c r="P24" s="34"/>
      <c r="Q24" s="23" t="s">
        <v>109</v>
      </c>
      <c r="R24" s="23" t="s">
        <v>109</v>
      </c>
      <c r="S24" s="34" t="s">
        <v>109</v>
      </c>
      <c r="U24" s="196">
        <v>5250</v>
      </c>
      <c r="V24" s="196">
        <v>5381</v>
      </c>
      <c r="W24" s="194"/>
    </row>
    <row r="25" spans="1:19" s="188" customFormat="1" ht="22.5" customHeight="1">
      <c r="A25" s="53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7" t="s">
        <v>21</v>
      </c>
      <c r="H25" s="24">
        <f>0.75*H27+0.25*H29</f>
        <v>315</v>
      </c>
      <c r="I25" s="24">
        <f>0.75*I27+0.25*I29</f>
        <v>333.17375</v>
      </c>
      <c r="J25" s="29"/>
      <c r="K25" s="55">
        <f>0.75*K27+0.25*K29</f>
        <v>320</v>
      </c>
      <c r="L25" s="55">
        <f>0.75*L27+0.25*L29</f>
        <v>338.29949999999997</v>
      </c>
      <c r="M25" s="29"/>
      <c r="N25" s="55">
        <f>0.75*N27+0.25*N29</f>
        <v>313.75</v>
      </c>
      <c r="O25" s="55">
        <f>0.75*O27+0.25*O29</f>
        <v>331.89231249999995</v>
      </c>
      <c r="P25" s="29"/>
      <c r="Q25" s="24">
        <f>0.75*Q27+0.25*Q29</f>
        <v>297.5</v>
      </c>
      <c r="R25" s="24">
        <f>0.75*R27+0.25*R29</f>
        <v>315.23362499999996</v>
      </c>
      <c r="S25" s="24"/>
    </row>
    <row r="26" spans="1:19" ht="15.75" customHeight="1">
      <c r="A26" s="53">
        <v>21</v>
      </c>
      <c r="B26" s="9"/>
      <c r="C26" s="13" t="s">
        <v>60</v>
      </c>
      <c r="D26" s="13"/>
      <c r="E26" s="9">
        <v>832</v>
      </c>
      <c r="F26" s="10" t="s">
        <v>61</v>
      </c>
      <c r="G26" s="9" t="s">
        <v>21</v>
      </c>
      <c r="H26" s="9">
        <v>325</v>
      </c>
      <c r="I26" s="30">
        <f>(H26+10)*1.015*1.01</f>
        <v>343.42525</v>
      </c>
      <c r="J26" s="196" t="s">
        <v>222</v>
      </c>
      <c r="K26" s="192">
        <v>330</v>
      </c>
      <c r="L26" s="30">
        <f>(K26+10)*1.015*1.01</f>
        <v>348.551</v>
      </c>
      <c r="M26" s="23" t="s">
        <v>13</v>
      </c>
      <c r="N26" s="202">
        <v>325</v>
      </c>
      <c r="O26" s="30">
        <f>(N26+10)*1.015*1.01</f>
        <v>343.42525</v>
      </c>
      <c r="P26" s="196" t="s">
        <v>222</v>
      </c>
      <c r="Q26" s="204">
        <v>305</v>
      </c>
      <c r="R26" s="30">
        <f>(Q26+10)*1.015*1.01</f>
        <v>322.92224999999996</v>
      </c>
      <c r="S26" s="196" t="s">
        <v>99</v>
      </c>
    </row>
    <row r="27" spans="1:19" ht="15.75" customHeight="1">
      <c r="A27" s="53">
        <v>22</v>
      </c>
      <c r="B27" s="9"/>
      <c r="C27" s="13" t="s">
        <v>60</v>
      </c>
      <c r="D27" s="13"/>
      <c r="E27" s="9"/>
      <c r="F27" s="10" t="s">
        <v>62</v>
      </c>
      <c r="G27" s="9" t="s">
        <v>21</v>
      </c>
      <c r="H27" s="9">
        <v>305</v>
      </c>
      <c r="I27" s="30">
        <f>(H27+10)*1.015*1.01</f>
        <v>322.92224999999996</v>
      </c>
      <c r="J27" s="196" t="s">
        <v>222</v>
      </c>
      <c r="K27" s="192">
        <v>310</v>
      </c>
      <c r="L27" s="30">
        <f>(K27+10)*1.015*1.01</f>
        <v>328.04799999999994</v>
      </c>
      <c r="M27" s="23" t="s">
        <v>13</v>
      </c>
      <c r="N27" s="202">
        <v>305</v>
      </c>
      <c r="O27" s="30">
        <f>(N27+10)*1.015*1.01</f>
        <v>322.92224999999996</v>
      </c>
      <c r="P27" s="196" t="s">
        <v>222</v>
      </c>
      <c r="Q27" s="204">
        <v>285</v>
      </c>
      <c r="R27" s="30">
        <f>(Q27+10)*1.015*1.01</f>
        <v>302.41925</v>
      </c>
      <c r="S27" s="196" t="s">
        <v>99</v>
      </c>
    </row>
    <row r="28" spans="1:19" ht="15.75" customHeight="1">
      <c r="A28" s="53">
        <v>23</v>
      </c>
      <c r="B28" s="9"/>
      <c r="C28" s="13" t="s">
        <v>63</v>
      </c>
      <c r="D28" s="13"/>
      <c r="E28" s="9">
        <v>833</v>
      </c>
      <c r="F28" s="10" t="s">
        <v>61</v>
      </c>
      <c r="G28" s="9" t="s">
        <v>21</v>
      </c>
      <c r="H28" s="9">
        <v>365</v>
      </c>
      <c r="I28" s="30">
        <f>(H28+10)*1.015*1.01</f>
        <v>384.4312499999999</v>
      </c>
      <c r="J28" s="196" t="s">
        <v>222</v>
      </c>
      <c r="K28" s="192">
        <v>370</v>
      </c>
      <c r="L28" s="30">
        <f>(K28+10)*1.015*1.01</f>
        <v>389.557</v>
      </c>
      <c r="M28" s="23" t="s">
        <v>13</v>
      </c>
      <c r="N28" s="202">
        <v>360</v>
      </c>
      <c r="O28" s="30">
        <f>(N28+10)*1.015*1.01</f>
        <v>379.30549999999994</v>
      </c>
      <c r="P28" s="196" t="s">
        <v>222</v>
      </c>
      <c r="Q28" s="204">
        <v>355</v>
      </c>
      <c r="R28" s="30">
        <f>(Q28+10)*1.015*1.01</f>
        <v>374.17974999999996</v>
      </c>
      <c r="S28" s="196" t="s">
        <v>99</v>
      </c>
    </row>
    <row r="29" spans="1:19" ht="17.25" customHeight="1">
      <c r="A29" s="53">
        <v>24</v>
      </c>
      <c r="B29" s="9"/>
      <c r="C29" s="13" t="s">
        <v>63</v>
      </c>
      <c r="D29" s="13"/>
      <c r="E29" s="9"/>
      <c r="F29" s="10" t="s">
        <v>62</v>
      </c>
      <c r="G29" s="9" t="s">
        <v>21</v>
      </c>
      <c r="H29" s="9">
        <v>345</v>
      </c>
      <c r="I29" s="30">
        <f>(H29+10)*1.015*1.01</f>
        <v>363.92825</v>
      </c>
      <c r="J29" s="196" t="s">
        <v>222</v>
      </c>
      <c r="K29" s="192">
        <v>350</v>
      </c>
      <c r="L29" s="30">
        <f>(K29+10)*1.015*1.01</f>
        <v>369.054</v>
      </c>
      <c r="M29" s="23" t="s">
        <v>13</v>
      </c>
      <c r="N29" s="202">
        <v>340</v>
      </c>
      <c r="O29" s="30">
        <f>(N29+10)*1.015*1.01</f>
        <v>358.80249999999995</v>
      </c>
      <c r="P29" s="196" t="s">
        <v>222</v>
      </c>
      <c r="Q29" s="204">
        <v>335</v>
      </c>
      <c r="R29" s="30">
        <f>(Q29+10)*1.015*1.01</f>
        <v>353.67674999999997</v>
      </c>
      <c r="S29" s="196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78"/>
      <c r="E31" s="104"/>
      <c r="F31" s="7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39"/>
      <c r="C32" s="39"/>
      <c r="D32" s="39"/>
      <c r="E32" s="39"/>
      <c r="F32" s="39"/>
      <c r="G32" s="39"/>
      <c r="H32" s="39"/>
      <c r="I32" s="39"/>
      <c r="J32" s="190"/>
      <c r="K32" s="39"/>
      <c r="L32" s="39"/>
      <c r="M32" s="39"/>
      <c r="N32" s="39"/>
      <c r="O32" s="39"/>
      <c r="P32" s="39"/>
      <c r="Q32" s="39"/>
      <c r="R32" s="39"/>
      <c r="S32" s="3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7"/>
      <c r="J33" s="198"/>
      <c r="K33" s="59" t="s">
        <v>225</v>
      </c>
      <c r="L33" s="197"/>
      <c r="M33" s="198"/>
      <c r="N33" s="59"/>
      <c r="O33" s="197"/>
      <c r="P33" s="198"/>
      <c r="Q33" s="6" t="s">
        <v>77</v>
      </c>
      <c r="R33" s="46" t="s">
        <v>78</v>
      </c>
    </row>
    <row r="34" spans="1:21" ht="18" customHeight="1">
      <c r="A34" s="53"/>
      <c r="B34" s="53"/>
      <c r="C34" s="108"/>
      <c r="D34" s="109"/>
      <c r="E34" s="53"/>
      <c r="F34" s="53"/>
      <c r="G34" s="53"/>
      <c r="H34" s="6" t="s">
        <v>14</v>
      </c>
      <c r="I34" s="6" t="s">
        <v>15</v>
      </c>
      <c r="J34" s="80" t="s">
        <v>106</v>
      </c>
      <c r="K34" s="6" t="s">
        <v>14</v>
      </c>
      <c r="L34" s="6" t="s">
        <v>15</v>
      </c>
      <c r="M34" s="80" t="s">
        <v>106</v>
      </c>
      <c r="N34" s="6"/>
      <c r="O34" s="6"/>
      <c r="P34" s="6"/>
      <c r="Q34" s="9"/>
      <c r="R34" s="53"/>
      <c r="T34" s="6"/>
      <c r="U34" s="6"/>
    </row>
    <row r="35" spans="1:21" s="188" customFormat="1" ht="23.25" customHeight="1">
      <c r="A35" s="53">
        <v>1</v>
      </c>
      <c r="B35" s="6" t="s">
        <v>16</v>
      </c>
      <c r="C35" s="6" t="s">
        <v>17</v>
      </c>
      <c r="D35" s="8" t="s">
        <v>18</v>
      </c>
      <c r="E35" s="9" t="s">
        <v>19</v>
      </c>
      <c r="F35" s="21" t="s">
        <v>20</v>
      </c>
      <c r="G35" s="7" t="s">
        <v>21</v>
      </c>
      <c r="H35" s="55"/>
      <c r="I35" s="22" t="s">
        <v>109</v>
      </c>
      <c r="J35" s="29"/>
      <c r="K35" s="55"/>
      <c r="L35" s="22"/>
      <c r="M35" s="29"/>
      <c r="N35" s="29"/>
      <c r="O35" s="22"/>
      <c r="P35" s="29"/>
      <c r="Q35" s="22" t="e">
        <f aca="true" t="shared" si="0" ref="Q35:Q58">AVERAGE(H6,K6,N6,Q6,H35,K35)</f>
        <v>#REF!</v>
      </c>
      <c r="R35" s="22" t="e">
        <f aca="true" t="shared" si="1" ref="R35:R58">AVERAGE(I6,L6,O6,R6,I35,L35)</f>
        <v>#REF!</v>
      </c>
      <c r="S35" s="104"/>
      <c r="T35" s="22"/>
      <c r="U35" s="22"/>
    </row>
    <row r="36" spans="1:21" ht="25.5" customHeight="1">
      <c r="A36" s="53">
        <v>2</v>
      </c>
      <c r="B36" s="9"/>
      <c r="C36" s="9"/>
      <c r="D36" s="10" t="s">
        <v>22</v>
      </c>
      <c r="E36" s="9"/>
      <c r="F36" s="10" t="s">
        <v>23</v>
      </c>
      <c r="G36" s="9" t="s">
        <v>21</v>
      </c>
      <c r="H36" s="58"/>
      <c r="I36" s="23" t="s">
        <v>109</v>
      </c>
      <c r="J36" s="34"/>
      <c r="K36" s="58"/>
      <c r="L36" s="23"/>
      <c r="M36" s="34"/>
      <c r="N36" s="34"/>
      <c r="O36" s="23"/>
      <c r="P36" s="34"/>
      <c r="Q36" s="30" t="e">
        <f t="shared" si="0"/>
        <v>#REF!</v>
      </c>
      <c r="R36" s="30" t="e">
        <f t="shared" si="1"/>
        <v>#REF!</v>
      </c>
      <c r="T36" s="23"/>
      <c r="U36" s="23"/>
    </row>
    <row r="37" spans="1:21" ht="15.75" customHeight="1">
      <c r="A37" s="53">
        <v>3</v>
      </c>
      <c r="B37" s="9"/>
      <c r="C37" s="9"/>
      <c r="D37" s="10" t="s">
        <v>24</v>
      </c>
      <c r="E37" s="9"/>
      <c r="F37" s="10" t="s">
        <v>25</v>
      </c>
      <c r="G37" s="9" t="s">
        <v>21</v>
      </c>
      <c r="H37" s="58"/>
      <c r="I37" s="23" t="s">
        <v>109</v>
      </c>
      <c r="J37" s="34"/>
      <c r="K37" s="58"/>
      <c r="L37" s="23"/>
      <c r="M37" s="34"/>
      <c r="N37" s="34"/>
      <c r="O37" s="23"/>
      <c r="P37" s="34"/>
      <c r="Q37" s="30" t="e">
        <f t="shared" si="0"/>
        <v>#REF!</v>
      </c>
      <c r="R37" s="30" t="e">
        <f t="shared" si="1"/>
        <v>#REF!</v>
      </c>
      <c r="T37" s="23"/>
      <c r="U37" s="23"/>
    </row>
    <row r="38" spans="1:21" s="188" customFormat="1" ht="44.25" customHeight="1">
      <c r="A38" s="53">
        <v>4</v>
      </c>
      <c r="B38" s="9"/>
      <c r="C38" s="6" t="s">
        <v>26</v>
      </c>
      <c r="D38" s="11" t="s">
        <v>27</v>
      </c>
      <c r="E38" s="9">
        <v>112</v>
      </c>
      <c r="F38" s="21" t="s">
        <v>28</v>
      </c>
      <c r="G38" s="7" t="s">
        <v>21</v>
      </c>
      <c r="H38" s="191" t="s">
        <v>109</v>
      </c>
      <c r="I38" s="22" t="s">
        <v>109</v>
      </c>
      <c r="J38" s="29"/>
      <c r="K38" s="55"/>
      <c r="L38" s="22"/>
      <c r="M38" s="29"/>
      <c r="N38" s="29"/>
      <c r="O38" s="22"/>
      <c r="P38" s="29"/>
      <c r="Q38" s="22" t="e">
        <f t="shared" si="0"/>
        <v>#REF!</v>
      </c>
      <c r="R38" s="22" t="e">
        <f t="shared" si="1"/>
        <v>#REF!</v>
      </c>
      <c r="S38" s="104"/>
      <c r="T38" s="22"/>
      <c r="U38" s="22"/>
    </row>
    <row r="39" spans="1:21" ht="15.75" customHeight="1">
      <c r="A39" s="53">
        <v>5</v>
      </c>
      <c r="B39" s="9"/>
      <c r="C39" s="9"/>
      <c r="D39" s="10" t="s">
        <v>29</v>
      </c>
      <c r="E39" s="9"/>
      <c r="F39" s="10" t="s">
        <v>30</v>
      </c>
      <c r="G39" s="9" t="s">
        <v>21</v>
      </c>
      <c r="H39" s="58"/>
      <c r="I39" s="23" t="s">
        <v>109</v>
      </c>
      <c r="J39" s="34"/>
      <c r="K39" s="58"/>
      <c r="L39" s="23"/>
      <c r="M39" s="34"/>
      <c r="N39" s="34"/>
      <c r="O39" s="23"/>
      <c r="P39" s="34"/>
      <c r="Q39" s="30" t="e">
        <f t="shared" si="0"/>
        <v>#REF!</v>
      </c>
      <c r="R39" s="30" t="e">
        <f t="shared" si="1"/>
        <v>#REF!</v>
      </c>
      <c r="T39" s="23"/>
      <c r="U39" s="23"/>
    </row>
    <row r="40" spans="1:21" ht="15.75" customHeight="1">
      <c r="A40" s="53">
        <v>6</v>
      </c>
      <c r="B40" s="9"/>
      <c r="C40" s="9"/>
      <c r="D40" s="10" t="s">
        <v>29</v>
      </c>
      <c r="E40" s="9"/>
      <c r="F40" s="10" t="s">
        <v>31</v>
      </c>
      <c r="G40" s="9" t="s">
        <v>21</v>
      </c>
      <c r="H40" s="58"/>
      <c r="I40" s="23" t="s">
        <v>109</v>
      </c>
      <c r="J40" s="34"/>
      <c r="K40" s="58"/>
      <c r="L40" s="23"/>
      <c r="M40" s="34"/>
      <c r="N40" s="34"/>
      <c r="O40" s="23"/>
      <c r="P40" s="34"/>
      <c r="Q40" s="30" t="e">
        <f t="shared" si="0"/>
        <v>#REF!</v>
      </c>
      <c r="R40" s="30" t="e">
        <f t="shared" si="1"/>
        <v>#REF!</v>
      </c>
      <c r="T40" s="23"/>
      <c r="U40" s="23"/>
    </row>
    <row r="41" spans="1:21" ht="15.75" customHeight="1">
      <c r="A41" s="53">
        <v>7</v>
      </c>
      <c r="B41" s="9"/>
      <c r="C41" s="9"/>
      <c r="D41" s="10" t="s">
        <v>29</v>
      </c>
      <c r="E41" s="9"/>
      <c r="F41" s="10" t="s">
        <v>32</v>
      </c>
      <c r="G41" s="9" t="s">
        <v>21</v>
      </c>
      <c r="H41" s="58"/>
      <c r="I41" s="23" t="s">
        <v>109</v>
      </c>
      <c r="J41" s="34"/>
      <c r="K41" s="58"/>
      <c r="L41" s="23"/>
      <c r="M41" s="34"/>
      <c r="N41" s="34"/>
      <c r="O41" s="23"/>
      <c r="P41" s="34"/>
      <c r="Q41" s="30" t="e">
        <f t="shared" si="0"/>
        <v>#REF!</v>
      </c>
      <c r="R41" s="30" t="e">
        <f t="shared" si="1"/>
        <v>#REF!</v>
      </c>
      <c r="T41" s="23"/>
      <c r="U41" s="23"/>
    </row>
    <row r="42" spans="1:21" ht="15.75" customHeight="1">
      <c r="A42" s="53">
        <v>8</v>
      </c>
      <c r="B42" s="9"/>
      <c r="C42" s="9"/>
      <c r="D42" s="10" t="s">
        <v>29</v>
      </c>
      <c r="E42" s="9"/>
      <c r="F42" s="10" t="s">
        <v>33</v>
      </c>
      <c r="G42" s="9" t="s">
        <v>21</v>
      </c>
      <c r="H42" s="58"/>
      <c r="I42" s="23" t="s">
        <v>109</v>
      </c>
      <c r="J42" s="34"/>
      <c r="K42" s="58"/>
      <c r="L42" s="23"/>
      <c r="M42" s="34"/>
      <c r="N42" s="34"/>
      <c r="O42" s="23"/>
      <c r="P42" s="34"/>
      <c r="Q42" s="30" t="e">
        <f t="shared" si="0"/>
        <v>#REF!</v>
      </c>
      <c r="R42" s="30" t="e">
        <f t="shared" si="1"/>
        <v>#REF!</v>
      </c>
      <c r="T42" s="23"/>
      <c r="U42" s="23"/>
    </row>
    <row r="43" spans="1:21" s="188" customFormat="1" ht="27" customHeight="1">
      <c r="A43" s="53">
        <v>9</v>
      </c>
      <c r="B43" s="9"/>
      <c r="C43" s="6" t="s">
        <v>34</v>
      </c>
      <c r="D43" s="11" t="s">
        <v>35</v>
      </c>
      <c r="E43" s="9">
        <v>182</v>
      </c>
      <c r="F43" s="21" t="s">
        <v>36</v>
      </c>
      <c r="G43" s="7" t="s">
        <v>21</v>
      </c>
      <c r="H43" s="24"/>
      <c r="I43" s="24" t="s">
        <v>109</v>
      </c>
      <c r="J43" s="24"/>
      <c r="K43" s="24"/>
      <c r="L43" s="24"/>
      <c r="M43" s="24"/>
      <c r="N43" s="24"/>
      <c r="O43" s="24"/>
      <c r="P43" s="24"/>
      <c r="Q43" s="22" t="e">
        <f t="shared" si="0"/>
        <v>#REF!</v>
      </c>
      <c r="R43" s="22" t="e">
        <f t="shared" si="1"/>
        <v>#REF!</v>
      </c>
      <c r="S43" s="104"/>
      <c r="T43" s="24"/>
      <c r="U43" s="24"/>
    </row>
    <row r="44" spans="1:21" ht="15.75" customHeight="1">
      <c r="A44" s="53">
        <v>10</v>
      </c>
      <c r="B44" s="9"/>
      <c r="C44" s="9"/>
      <c r="D44" s="10" t="s">
        <v>37</v>
      </c>
      <c r="E44" s="9"/>
      <c r="F44" s="13" t="s">
        <v>38</v>
      </c>
      <c r="G44" s="9" t="s">
        <v>21</v>
      </c>
      <c r="H44" s="58"/>
      <c r="I44" s="23" t="s">
        <v>109</v>
      </c>
      <c r="J44" s="34"/>
      <c r="K44" s="58"/>
      <c r="L44" s="23"/>
      <c r="M44" s="34"/>
      <c r="N44" s="34"/>
      <c r="O44" s="23"/>
      <c r="P44" s="34"/>
      <c r="Q44" s="30" t="e">
        <f t="shared" si="0"/>
        <v>#REF!</v>
      </c>
      <c r="R44" s="30" t="e">
        <f t="shared" si="1"/>
        <v>#REF!</v>
      </c>
      <c r="T44" s="23"/>
      <c r="U44" s="23"/>
    </row>
    <row r="45" spans="1:21" ht="15.75" customHeight="1">
      <c r="A45" s="53">
        <v>11</v>
      </c>
      <c r="B45" s="9"/>
      <c r="C45" s="9"/>
      <c r="D45" s="10" t="s">
        <v>39</v>
      </c>
      <c r="E45" s="9"/>
      <c r="F45" s="13" t="s">
        <v>40</v>
      </c>
      <c r="G45" s="9" t="s">
        <v>21</v>
      </c>
      <c r="H45" s="58"/>
      <c r="I45" s="23" t="s">
        <v>109</v>
      </c>
      <c r="J45" s="34"/>
      <c r="K45" s="58"/>
      <c r="L45" s="23"/>
      <c r="M45" s="34"/>
      <c r="N45" s="34"/>
      <c r="O45" s="23"/>
      <c r="P45" s="34"/>
      <c r="Q45" s="30" t="e">
        <f t="shared" si="0"/>
        <v>#REF!</v>
      </c>
      <c r="R45" s="30" t="e">
        <f t="shared" si="1"/>
        <v>#REF!</v>
      </c>
      <c r="T45" s="23"/>
      <c r="U45" s="23"/>
    </row>
    <row r="46" spans="1:21" ht="15.75" customHeight="1">
      <c r="A46" s="53">
        <v>12</v>
      </c>
      <c r="B46" s="9"/>
      <c r="C46" s="9"/>
      <c r="D46" s="10" t="s">
        <v>41</v>
      </c>
      <c r="E46" s="9"/>
      <c r="F46" s="13" t="s">
        <v>42</v>
      </c>
      <c r="G46" s="9" t="s">
        <v>21</v>
      </c>
      <c r="H46" s="58"/>
      <c r="I46" s="23" t="s">
        <v>109</v>
      </c>
      <c r="J46" s="34"/>
      <c r="K46" s="58"/>
      <c r="L46" s="23"/>
      <c r="M46" s="34"/>
      <c r="N46" s="34"/>
      <c r="O46" s="23"/>
      <c r="P46" s="34"/>
      <c r="Q46" s="30" t="e">
        <f t="shared" si="0"/>
        <v>#REF!</v>
      </c>
      <c r="R46" s="30" t="e">
        <f t="shared" si="1"/>
        <v>#REF!</v>
      </c>
      <c r="T46" s="23"/>
      <c r="U46" s="23"/>
    </row>
    <row r="47" spans="1:21" ht="15.75" customHeight="1">
      <c r="A47" s="53">
        <v>13</v>
      </c>
      <c r="B47" s="9"/>
      <c r="C47" s="6" t="s">
        <v>43</v>
      </c>
      <c r="D47" s="9"/>
      <c r="E47" s="9">
        <v>183</v>
      </c>
      <c r="F47" s="13" t="s">
        <v>44</v>
      </c>
      <c r="G47" s="9" t="s">
        <v>21</v>
      </c>
      <c r="H47" s="58" t="s">
        <v>109</v>
      </c>
      <c r="I47" s="23" t="s">
        <v>109</v>
      </c>
      <c r="J47" s="34"/>
      <c r="K47" s="58"/>
      <c r="L47" s="23"/>
      <c r="M47" s="34"/>
      <c r="N47" s="34"/>
      <c r="O47" s="23"/>
      <c r="P47" s="34"/>
      <c r="Q47" s="30" t="e">
        <f t="shared" si="0"/>
        <v>#REF!</v>
      </c>
      <c r="R47" s="30" t="e">
        <f t="shared" si="1"/>
        <v>#REF!</v>
      </c>
      <c r="T47" s="23"/>
      <c r="U47" s="23"/>
    </row>
    <row r="48" spans="1:21" s="188" customFormat="1" ht="22.5" customHeight="1">
      <c r="A48" s="53">
        <v>14</v>
      </c>
      <c r="B48" s="9"/>
      <c r="C48" s="6" t="s">
        <v>45</v>
      </c>
      <c r="D48" s="11" t="s">
        <v>46</v>
      </c>
      <c r="E48" s="25"/>
      <c r="F48" s="21" t="s">
        <v>47</v>
      </c>
      <c r="G48" s="7" t="s">
        <v>21</v>
      </c>
      <c r="H48" s="24"/>
      <c r="I48" s="24" t="s">
        <v>109</v>
      </c>
      <c r="J48" s="29"/>
      <c r="K48" s="55"/>
      <c r="L48" s="24"/>
      <c r="M48" s="29"/>
      <c r="N48" s="29"/>
      <c r="O48" s="24"/>
      <c r="P48" s="29"/>
      <c r="Q48" s="22" t="e">
        <f t="shared" si="0"/>
        <v>#REF!</v>
      </c>
      <c r="R48" s="22" t="e">
        <f t="shared" si="1"/>
        <v>#REF!</v>
      </c>
      <c r="S48" s="104"/>
      <c r="T48" s="24"/>
      <c r="U48" s="24"/>
    </row>
    <row r="49" spans="1:21" ht="15.75" customHeight="1">
      <c r="A49" s="53">
        <v>15</v>
      </c>
      <c r="B49" s="9"/>
      <c r="C49" s="9"/>
      <c r="D49" s="10" t="s">
        <v>48</v>
      </c>
      <c r="E49" s="25"/>
      <c r="F49" s="10" t="s">
        <v>49</v>
      </c>
      <c r="G49" s="9" t="s">
        <v>21</v>
      </c>
      <c r="H49" s="58"/>
      <c r="I49" s="23" t="s">
        <v>109</v>
      </c>
      <c r="J49" s="34"/>
      <c r="K49" s="58"/>
      <c r="L49" s="23"/>
      <c r="M49" s="34"/>
      <c r="N49" s="34"/>
      <c r="O49" s="23"/>
      <c r="P49" s="34"/>
      <c r="Q49" s="30" t="e">
        <f t="shared" si="0"/>
        <v>#REF!</v>
      </c>
      <c r="R49" s="30" t="e">
        <f t="shared" si="1"/>
        <v>#REF!</v>
      </c>
      <c r="T49" s="23"/>
      <c r="U49" s="23"/>
    </row>
    <row r="50" spans="1:21" ht="15.75" customHeight="1">
      <c r="A50" s="53">
        <v>16</v>
      </c>
      <c r="B50" s="9"/>
      <c r="C50" s="9"/>
      <c r="D50" s="10" t="s">
        <v>50</v>
      </c>
      <c r="E50" s="25">
        <v>192</v>
      </c>
      <c r="F50" s="10" t="s">
        <v>51</v>
      </c>
      <c r="G50" s="9" t="s">
        <v>21</v>
      </c>
      <c r="H50" s="58"/>
      <c r="I50" s="34" t="s">
        <v>109</v>
      </c>
      <c r="J50" s="34"/>
      <c r="K50" s="58"/>
      <c r="L50" s="34"/>
      <c r="M50" s="34"/>
      <c r="N50" s="34"/>
      <c r="O50" s="34"/>
      <c r="P50" s="34"/>
      <c r="Q50" s="30" t="e">
        <f t="shared" si="0"/>
        <v>#REF!</v>
      </c>
      <c r="R50" s="30" t="e">
        <f t="shared" si="1"/>
        <v>#REF!</v>
      </c>
      <c r="T50" s="34"/>
      <c r="U50" s="34"/>
    </row>
    <row r="51" spans="1:21" ht="15.75" customHeight="1">
      <c r="A51" s="53">
        <v>17</v>
      </c>
      <c r="B51" s="9"/>
      <c r="C51" s="9"/>
      <c r="D51" s="10" t="s">
        <v>52</v>
      </c>
      <c r="E51" s="25">
        <v>191</v>
      </c>
      <c r="F51" s="10" t="s">
        <v>53</v>
      </c>
      <c r="G51" s="9" t="s">
        <v>21</v>
      </c>
      <c r="H51" s="58"/>
      <c r="I51" s="23"/>
      <c r="J51" s="34"/>
      <c r="K51" s="58"/>
      <c r="L51" s="23"/>
      <c r="M51" s="34"/>
      <c r="N51" s="34"/>
      <c r="O51" s="23"/>
      <c r="P51" s="34"/>
      <c r="Q51" s="30" t="e">
        <f t="shared" si="0"/>
        <v>#REF!</v>
      </c>
      <c r="R51" s="30" t="e">
        <f t="shared" si="1"/>
        <v>#REF!</v>
      </c>
      <c r="T51" s="23"/>
      <c r="U51" s="23"/>
    </row>
    <row r="52" spans="1:21" ht="15.75" customHeight="1">
      <c r="A52" s="53">
        <v>18</v>
      </c>
      <c r="B52" s="9"/>
      <c r="C52" s="10" t="s">
        <v>54</v>
      </c>
      <c r="D52" s="13"/>
      <c r="E52" s="9">
        <v>121</v>
      </c>
      <c r="F52" s="13"/>
      <c r="G52" s="9" t="s">
        <v>21</v>
      </c>
      <c r="H52" s="58"/>
      <c r="I52" s="23"/>
      <c r="J52" s="34"/>
      <c r="K52" s="58"/>
      <c r="L52" s="23"/>
      <c r="M52" s="34"/>
      <c r="N52" s="34"/>
      <c r="O52" s="23"/>
      <c r="P52" s="34"/>
      <c r="Q52" s="30" t="e">
        <f t="shared" si="0"/>
        <v>#REF!</v>
      </c>
      <c r="R52" s="30" t="e">
        <f t="shared" si="1"/>
        <v>#REF!</v>
      </c>
      <c r="T52" s="23"/>
      <c r="U52" s="23"/>
    </row>
    <row r="53" spans="1:21" ht="15.75" customHeight="1">
      <c r="A53" s="53">
        <v>19</v>
      </c>
      <c r="B53" s="9"/>
      <c r="C53" s="10" t="s">
        <v>55</v>
      </c>
      <c r="D53" s="13"/>
      <c r="E53" s="9">
        <v>125</v>
      </c>
      <c r="F53" s="10" t="s">
        <v>56</v>
      </c>
      <c r="G53" s="9" t="s">
        <v>21</v>
      </c>
      <c r="H53" s="58" t="s">
        <v>109</v>
      </c>
      <c r="I53" s="23" t="s">
        <v>109</v>
      </c>
      <c r="J53" s="34"/>
      <c r="K53" s="58"/>
      <c r="L53" s="23"/>
      <c r="M53" s="34"/>
      <c r="N53" s="34"/>
      <c r="O53" s="23"/>
      <c r="P53" s="34"/>
      <c r="Q53" s="30" t="e">
        <f t="shared" si="0"/>
        <v>#REF!</v>
      </c>
      <c r="R53" s="30" t="e">
        <f t="shared" si="1"/>
        <v>#REF!</v>
      </c>
      <c r="T53" s="23"/>
      <c r="U53" s="23"/>
    </row>
    <row r="54" spans="1:19" s="188" customFormat="1" ht="22.5" customHeight="1">
      <c r="A54" s="53">
        <v>20</v>
      </c>
      <c r="B54" s="6" t="s">
        <v>57</v>
      </c>
      <c r="C54" s="11" t="s">
        <v>58</v>
      </c>
      <c r="D54" s="14"/>
      <c r="E54" s="7"/>
      <c r="F54" s="21" t="s">
        <v>59</v>
      </c>
      <c r="G54" s="7" t="s">
        <v>21</v>
      </c>
      <c r="H54" s="24">
        <f>0.75*H56+0.25*H58</f>
        <v>305</v>
      </c>
      <c r="I54" s="24">
        <f>0.75*I56+0.25*I58</f>
        <v>322.92224999999996</v>
      </c>
      <c r="J54" s="29"/>
      <c r="K54" s="24">
        <f>0.75*K56+0.25*K58</f>
        <v>330</v>
      </c>
      <c r="L54" s="24">
        <f>0.75*L56+0.25*L58</f>
        <v>348.55099999999993</v>
      </c>
      <c r="M54" s="29"/>
      <c r="N54" s="24"/>
      <c r="O54" s="24"/>
      <c r="P54" s="29"/>
      <c r="Q54" s="22">
        <f t="shared" si="0"/>
        <v>313.5416666666667</v>
      </c>
      <c r="R54" s="22">
        <f t="shared" si="1"/>
        <v>331.6787395833333</v>
      </c>
      <c r="S54" s="104"/>
    </row>
    <row r="55" spans="1:18" ht="15.75" customHeight="1">
      <c r="A55" s="53">
        <v>21</v>
      </c>
      <c r="B55" s="9"/>
      <c r="C55" s="13" t="s">
        <v>60</v>
      </c>
      <c r="D55" s="13"/>
      <c r="E55" s="9">
        <v>832</v>
      </c>
      <c r="F55" s="10" t="s">
        <v>61</v>
      </c>
      <c r="G55" s="9" t="s">
        <v>21</v>
      </c>
      <c r="H55" s="192">
        <v>315</v>
      </c>
      <c r="I55" s="23">
        <f>(H55+10)*1.015*1.01</f>
        <v>333.1737499999999</v>
      </c>
      <c r="J55" s="23" t="s">
        <v>212</v>
      </c>
      <c r="K55" s="96">
        <v>340</v>
      </c>
      <c r="L55" s="23">
        <f>(K55+10)*1.015*1.01</f>
        <v>358.80249999999995</v>
      </c>
      <c r="M55" s="196" t="s">
        <v>99</v>
      </c>
      <c r="N55" s="102"/>
      <c r="O55" s="23"/>
      <c r="P55" s="102"/>
      <c r="Q55" s="30">
        <f t="shared" si="0"/>
        <v>323.3333333333333</v>
      </c>
      <c r="R55" s="30">
        <f t="shared" si="1"/>
        <v>341.71666666666664</v>
      </c>
    </row>
    <row r="56" spans="1:18" ht="15.75" customHeight="1">
      <c r="A56" s="53">
        <v>22</v>
      </c>
      <c r="B56" s="9"/>
      <c r="C56" s="13" t="s">
        <v>60</v>
      </c>
      <c r="D56" s="13"/>
      <c r="E56" s="9"/>
      <c r="F56" s="10" t="s">
        <v>62</v>
      </c>
      <c r="G56" s="9" t="s">
        <v>21</v>
      </c>
      <c r="H56" s="192">
        <v>295</v>
      </c>
      <c r="I56" s="23">
        <f>(H56+10)*1.015*1.01</f>
        <v>312.67075</v>
      </c>
      <c r="J56" s="23" t="s">
        <v>212</v>
      </c>
      <c r="K56" s="96">
        <v>320</v>
      </c>
      <c r="L56" s="23">
        <f aca="true" t="shared" si="2" ref="L56:L61">(K56+10)*1.015*1.01</f>
        <v>338.29949999999997</v>
      </c>
      <c r="M56" s="196" t="s">
        <v>99</v>
      </c>
      <c r="N56" s="102"/>
      <c r="O56" s="23"/>
      <c r="P56" s="102"/>
      <c r="Q56" s="30">
        <f t="shared" si="0"/>
        <v>303.3333333333333</v>
      </c>
      <c r="R56" s="30">
        <f t="shared" si="1"/>
        <v>321.2136666666666</v>
      </c>
    </row>
    <row r="57" spans="1:18" ht="15.75" customHeight="1">
      <c r="A57" s="53">
        <v>23</v>
      </c>
      <c r="B57" s="9"/>
      <c r="C57" s="13" t="s">
        <v>63</v>
      </c>
      <c r="D57" s="13"/>
      <c r="E57" s="9">
        <v>833</v>
      </c>
      <c r="F57" s="10" t="s">
        <v>61</v>
      </c>
      <c r="G57" s="9" t="s">
        <v>21</v>
      </c>
      <c r="H57" s="192">
        <v>355</v>
      </c>
      <c r="I57" s="23">
        <f>(H57+10)*1.015*1.01</f>
        <v>374.17974999999996</v>
      </c>
      <c r="J57" s="23" t="s">
        <v>212</v>
      </c>
      <c r="K57" s="96">
        <v>380</v>
      </c>
      <c r="L57" s="23">
        <f t="shared" si="2"/>
        <v>399.8085</v>
      </c>
      <c r="M57" s="196" t="s">
        <v>99</v>
      </c>
      <c r="N57" s="102"/>
      <c r="O57" s="23"/>
      <c r="P57" s="102"/>
      <c r="Q57" s="30">
        <f t="shared" si="0"/>
        <v>364.1666666666667</v>
      </c>
      <c r="R57" s="30">
        <f t="shared" si="1"/>
        <v>383.5769583333333</v>
      </c>
    </row>
    <row r="58" spans="1:18" ht="15.75" customHeight="1">
      <c r="A58" s="53">
        <v>24</v>
      </c>
      <c r="B58" s="9"/>
      <c r="C58" s="13" t="s">
        <v>63</v>
      </c>
      <c r="D58" s="13"/>
      <c r="E58" s="9"/>
      <c r="F58" s="10" t="s">
        <v>62</v>
      </c>
      <c r="G58" s="9" t="s">
        <v>21</v>
      </c>
      <c r="H58" s="192">
        <v>335</v>
      </c>
      <c r="I58" s="23">
        <f>(H58+10)*1.015*1.01</f>
        <v>353.67674999999997</v>
      </c>
      <c r="J58" s="23" t="s">
        <v>212</v>
      </c>
      <c r="K58" s="96">
        <v>360</v>
      </c>
      <c r="L58" s="23">
        <f t="shared" si="2"/>
        <v>379.30549999999994</v>
      </c>
      <c r="M58" s="196" t="s">
        <v>99</v>
      </c>
      <c r="N58" s="102"/>
      <c r="O58" s="23"/>
      <c r="P58" s="102"/>
      <c r="Q58" s="30">
        <f t="shared" si="0"/>
        <v>344.1666666666667</v>
      </c>
      <c r="R58" s="30">
        <f t="shared" si="1"/>
        <v>363.07395833333334</v>
      </c>
    </row>
    <row r="59" spans="1:19" s="189" customFormat="1" ht="15.75" customHeight="1" hidden="1">
      <c r="A59" s="9">
        <v>25</v>
      </c>
      <c r="B59" s="6" t="s">
        <v>64</v>
      </c>
      <c r="C59" s="15" t="s">
        <v>65</v>
      </c>
      <c r="D59" s="16"/>
      <c r="E59" s="26"/>
      <c r="F59" s="27" t="s">
        <v>66</v>
      </c>
      <c r="G59" s="26" t="s">
        <v>67</v>
      </c>
      <c r="H59" s="193">
        <v>8.63</v>
      </c>
      <c r="I59" s="38">
        <v>6.37</v>
      </c>
      <c r="J59" s="199" t="s">
        <v>165</v>
      </c>
      <c r="K59" s="161"/>
      <c r="L59" s="23">
        <f t="shared" si="2"/>
        <v>10.251499999999998</v>
      </c>
      <c r="M59" s="199" t="s">
        <v>165</v>
      </c>
      <c r="N59" s="95"/>
      <c r="O59" s="26"/>
      <c r="P59" s="95"/>
      <c r="Q59" s="42"/>
      <c r="R59" s="42" t="e">
        <f>AVERAGE(#REF!,#REF!,#REF!,#REF!,I59,L59)</f>
        <v>#REF!</v>
      </c>
      <c r="S59" s="210"/>
    </row>
    <row r="60" spans="1:19" s="189" customFormat="1" ht="15.75" customHeight="1" hidden="1">
      <c r="A60" s="9">
        <v>26</v>
      </c>
      <c r="B60" s="6"/>
      <c r="C60" s="15" t="s">
        <v>65</v>
      </c>
      <c r="D60" s="16"/>
      <c r="E60" s="26">
        <v>862</v>
      </c>
      <c r="F60" s="27" t="s">
        <v>68</v>
      </c>
      <c r="G60" s="26" t="s">
        <v>67</v>
      </c>
      <c r="H60" s="161"/>
      <c r="I60" s="38">
        <v>6.75</v>
      </c>
      <c r="J60" s="200" t="s">
        <v>165</v>
      </c>
      <c r="K60" s="161"/>
      <c r="L60" s="23">
        <f t="shared" si="2"/>
        <v>10.251499999999998</v>
      </c>
      <c r="M60" s="200" t="s">
        <v>165</v>
      </c>
      <c r="N60" s="95"/>
      <c r="O60" s="26"/>
      <c r="P60" s="95"/>
      <c r="Q60" s="42"/>
      <c r="R60" s="42" t="e">
        <f>AVERAGE(#REF!,#REF!,#REF!,#REF!,I60,L60)</f>
        <v>#REF!</v>
      </c>
      <c r="S60" s="210"/>
    </row>
    <row r="61" spans="1:18" s="189" customFormat="1" ht="15.75" customHeight="1" hidden="1">
      <c r="A61" s="9">
        <v>27</v>
      </c>
      <c r="B61" s="17"/>
      <c r="C61" s="10" t="s">
        <v>69</v>
      </c>
      <c r="D61" s="18"/>
      <c r="E61" s="26">
        <v>863</v>
      </c>
      <c r="F61" s="27" t="s">
        <v>70</v>
      </c>
      <c r="G61" s="26" t="s">
        <v>67</v>
      </c>
      <c r="H61" s="147"/>
      <c r="I61" s="38">
        <v>5.75</v>
      </c>
      <c r="J61" s="200" t="s">
        <v>165</v>
      </c>
      <c r="K61" s="147"/>
      <c r="L61" s="23">
        <f t="shared" si="2"/>
        <v>10.251499999999998</v>
      </c>
      <c r="M61" s="200" t="s">
        <v>165</v>
      </c>
      <c r="N61" s="95"/>
      <c r="O61" s="26"/>
      <c r="P61" s="95"/>
      <c r="Q61" s="42"/>
      <c r="R61" s="42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3" customWidth="1"/>
    <col min="21" max="32" width="9.00390625" style="173" customWidth="1"/>
    <col min="33" max="16384" width="8.75390625" style="173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19"/>
      <c r="C3" s="19"/>
      <c r="D3" s="19"/>
      <c r="E3" s="19"/>
      <c r="F3" s="19"/>
      <c r="G3" s="19"/>
      <c r="H3" s="19"/>
      <c r="I3" s="19"/>
      <c r="J3" s="5"/>
      <c r="K3" s="19"/>
      <c r="L3" s="19"/>
      <c r="M3" s="19"/>
      <c r="N3" s="39"/>
      <c r="O3" s="39"/>
      <c r="P3" s="39"/>
      <c r="Q3" s="39"/>
      <c r="R3" s="39"/>
      <c r="S3" s="3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7"/>
      <c r="S4" s="198"/>
      <c r="T4" s="43" t="s">
        <v>80</v>
      </c>
    </row>
    <row r="5" spans="1:21" s="187" customFormat="1" ht="18" customHeight="1">
      <c r="A5" s="53"/>
      <c r="B5" s="53"/>
      <c r="C5" s="108"/>
      <c r="D5" s="109"/>
      <c r="E5" s="53"/>
      <c r="F5" s="53"/>
      <c r="G5" s="53"/>
      <c r="H5" s="80" t="s">
        <v>14</v>
      </c>
      <c r="I5" s="80" t="s">
        <v>15</v>
      </c>
      <c r="J5" s="80" t="s">
        <v>106</v>
      </c>
      <c r="K5" s="80" t="s">
        <v>14</v>
      </c>
      <c r="L5" s="80" t="s">
        <v>15</v>
      </c>
      <c r="M5" s="80" t="s">
        <v>106</v>
      </c>
      <c r="N5" s="80" t="s">
        <v>14</v>
      </c>
      <c r="O5" s="80" t="s">
        <v>15</v>
      </c>
      <c r="P5" s="80" t="s">
        <v>106</v>
      </c>
      <c r="Q5" s="80" t="s">
        <v>14</v>
      </c>
      <c r="R5" s="80" t="s">
        <v>15</v>
      </c>
      <c r="S5" s="80" t="s">
        <v>106</v>
      </c>
      <c r="T5" s="43"/>
      <c r="U5" s="211" t="s">
        <v>14</v>
      </c>
    </row>
    <row r="6" spans="1:23" s="188" customFormat="1" ht="23.25" customHeight="1">
      <c r="A6" s="53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7" t="s">
        <v>21</v>
      </c>
      <c r="H6" s="22" t="e">
        <f>0.8*H7+0.2*H8</f>
        <v>#REF!</v>
      </c>
      <c r="I6" s="22" t="e">
        <f>0.8*I7+0.2*I8</f>
        <v>#REF!</v>
      </c>
      <c r="J6" s="29"/>
      <c r="K6" s="55"/>
      <c r="L6" s="22" t="s">
        <v>109</v>
      </c>
      <c r="M6" s="29"/>
      <c r="N6" s="55"/>
      <c r="O6" s="22"/>
      <c r="P6" s="29"/>
      <c r="Q6" s="22" t="s">
        <v>109</v>
      </c>
      <c r="R6" s="22"/>
      <c r="S6" s="203"/>
      <c r="T6" s="44">
        <v>17</v>
      </c>
      <c r="U6" s="212">
        <v>3940</v>
      </c>
      <c r="V6" s="213">
        <v>4038</v>
      </c>
      <c r="W6" s="36"/>
    </row>
    <row r="7" spans="1:23" ht="24.75" customHeight="1">
      <c r="A7" s="53">
        <v>2</v>
      </c>
      <c r="B7" s="9"/>
      <c r="C7" s="9"/>
      <c r="D7" s="10" t="s">
        <v>22</v>
      </c>
      <c r="E7" s="9"/>
      <c r="F7" s="10" t="s">
        <v>23</v>
      </c>
      <c r="G7" s="9" t="s">
        <v>21</v>
      </c>
      <c r="H7" s="23" t="e">
        <f>#REF!+35</f>
        <v>#REF!</v>
      </c>
      <c r="I7" s="30" t="e">
        <f>(H7+27)*1.015</f>
        <v>#REF!</v>
      </c>
      <c r="J7" s="102"/>
      <c r="K7" s="58"/>
      <c r="L7" s="23" t="s">
        <v>109</v>
      </c>
      <c r="M7" s="34"/>
      <c r="N7" s="58"/>
      <c r="O7" s="23"/>
      <c r="P7" s="34"/>
      <c r="Q7" s="30" t="s">
        <v>109</v>
      </c>
      <c r="R7" s="30"/>
      <c r="S7" s="102"/>
      <c r="T7" s="45">
        <v>17</v>
      </c>
      <c r="U7" s="214">
        <v>3970</v>
      </c>
      <c r="V7" s="196">
        <v>4069</v>
      </c>
      <c r="W7" s="194" t="s">
        <v>208</v>
      </c>
    </row>
    <row r="8" spans="1:23" ht="15.75" customHeight="1">
      <c r="A8" s="53">
        <v>3</v>
      </c>
      <c r="B8" s="9"/>
      <c r="C8" s="9"/>
      <c r="D8" s="10" t="s">
        <v>24</v>
      </c>
      <c r="E8" s="9"/>
      <c r="F8" s="10" t="s">
        <v>25</v>
      </c>
      <c r="G8" s="9" t="s">
        <v>21</v>
      </c>
      <c r="H8" s="23" t="e">
        <f>#REF!+35</f>
        <v>#REF!</v>
      </c>
      <c r="I8" s="30" t="e">
        <f>(H8+27)*1.015</f>
        <v>#REF!</v>
      </c>
      <c r="J8" s="194" t="s">
        <v>89</v>
      </c>
      <c r="K8" s="58"/>
      <c r="L8" s="23" t="s">
        <v>109</v>
      </c>
      <c r="M8" s="34"/>
      <c r="N8" s="58"/>
      <c r="O8" s="23"/>
      <c r="P8" s="34"/>
      <c r="Q8" s="23" t="s">
        <v>109</v>
      </c>
      <c r="R8" s="23"/>
      <c r="S8" s="34" t="s">
        <v>109</v>
      </c>
      <c r="T8" s="45">
        <v>17</v>
      </c>
      <c r="U8" s="214">
        <v>3820</v>
      </c>
      <c r="V8" s="196">
        <v>3915</v>
      </c>
      <c r="W8" s="194" t="s">
        <v>89</v>
      </c>
    </row>
    <row r="9" spans="1:23" s="188" customFormat="1" ht="33" customHeight="1">
      <c r="A9" s="53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7" t="s">
        <v>21</v>
      </c>
      <c r="H9" s="22" t="e">
        <f>0.03*H10+0.38*H11+0.27*H12+0.32*H13</f>
        <v>#REF!</v>
      </c>
      <c r="I9" s="22" t="e">
        <f>0.03*I10+0.38*I11+0.27*I12+0.32*I13</f>
        <v>#REF!</v>
      </c>
      <c r="J9" s="36"/>
      <c r="K9" s="55" t="s">
        <v>109</v>
      </c>
      <c r="L9" s="22" t="s">
        <v>109</v>
      </c>
      <c r="M9" s="29"/>
      <c r="N9" s="55"/>
      <c r="O9" s="22"/>
      <c r="P9" s="29"/>
      <c r="Q9" s="22" t="s">
        <v>109</v>
      </c>
      <c r="R9" s="22"/>
      <c r="S9" s="29" t="s">
        <v>109</v>
      </c>
      <c r="T9" s="44">
        <v>17</v>
      </c>
      <c r="U9" s="212">
        <v>3660</v>
      </c>
      <c r="V9" s="213">
        <v>3751</v>
      </c>
      <c r="W9" s="36"/>
    </row>
    <row r="10" spans="1:23" ht="15.75" customHeight="1">
      <c r="A10" s="53">
        <v>5</v>
      </c>
      <c r="B10" s="9"/>
      <c r="C10" s="9"/>
      <c r="D10" s="10" t="s">
        <v>29</v>
      </c>
      <c r="E10" s="9"/>
      <c r="F10" s="10" t="s">
        <v>30</v>
      </c>
      <c r="G10" s="9" t="s">
        <v>21</v>
      </c>
      <c r="H10" s="23" t="e">
        <f>#REF!+35</f>
        <v>#REF!</v>
      </c>
      <c r="I10" s="30" t="e">
        <f>(H10+27)*1.015</f>
        <v>#REF!</v>
      </c>
      <c r="J10" s="194" t="s">
        <v>90</v>
      </c>
      <c r="K10" s="58"/>
      <c r="L10" s="23" t="s">
        <v>109</v>
      </c>
      <c r="M10" s="34"/>
      <c r="N10" s="58"/>
      <c r="O10" s="23"/>
      <c r="P10" s="34"/>
      <c r="Q10" s="23" t="s">
        <v>109</v>
      </c>
      <c r="R10" s="23"/>
      <c r="S10" s="34" t="s">
        <v>109</v>
      </c>
      <c r="T10" s="45">
        <v>17</v>
      </c>
      <c r="U10" s="214">
        <v>3850</v>
      </c>
      <c r="V10" s="196">
        <v>3946</v>
      </c>
      <c r="W10" s="194" t="s">
        <v>90</v>
      </c>
    </row>
    <row r="11" spans="1:23" ht="15.75" customHeight="1">
      <c r="A11" s="53">
        <v>6</v>
      </c>
      <c r="B11" s="9"/>
      <c r="C11" s="9"/>
      <c r="D11" s="10" t="s">
        <v>29</v>
      </c>
      <c r="E11" s="9"/>
      <c r="F11" s="10" t="s">
        <v>31</v>
      </c>
      <c r="G11" s="9" t="s">
        <v>21</v>
      </c>
      <c r="H11" s="23" t="e">
        <f>#REF!+35</f>
        <v>#REF!</v>
      </c>
      <c r="I11" s="30" t="e">
        <f>(H11+27)*1.015</f>
        <v>#REF!</v>
      </c>
      <c r="J11" s="194" t="s">
        <v>90</v>
      </c>
      <c r="K11" s="58"/>
      <c r="L11" s="23" t="s">
        <v>109</v>
      </c>
      <c r="M11" s="34"/>
      <c r="N11" s="58"/>
      <c r="O11" s="23"/>
      <c r="P11" s="34"/>
      <c r="Q11" s="23" t="s">
        <v>109</v>
      </c>
      <c r="R11" s="23"/>
      <c r="S11" s="34" t="s">
        <v>109</v>
      </c>
      <c r="T11" s="45">
        <v>17</v>
      </c>
      <c r="U11" s="214">
        <v>3650</v>
      </c>
      <c r="V11" s="196">
        <v>3741</v>
      </c>
      <c r="W11" s="194" t="s">
        <v>90</v>
      </c>
    </row>
    <row r="12" spans="1:23" ht="15.75" customHeight="1">
      <c r="A12" s="53">
        <v>7</v>
      </c>
      <c r="B12" s="9"/>
      <c r="C12" s="9"/>
      <c r="D12" s="10" t="s">
        <v>29</v>
      </c>
      <c r="E12" s="9"/>
      <c r="F12" s="10" t="s">
        <v>32</v>
      </c>
      <c r="G12" s="9" t="s">
        <v>21</v>
      </c>
      <c r="H12" s="23" t="e">
        <f>#REF!+35</f>
        <v>#REF!</v>
      </c>
      <c r="I12" s="30" t="e">
        <f>(H12+27)*1.015</f>
        <v>#REF!</v>
      </c>
      <c r="J12" s="194" t="s">
        <v>90</v>
      </c>
      <c r="K12" s="58"/>
      <c r="L12" s="23" t="s">
        <v>109</v>
      </c>
      <c r="M12" s="34"/>
      <c r="N12" s="58"/>
      <c r="O12" s="23"/>
      <c r="P12" s="34"/>
      <c r="Q12" s="23" t="s">
        <v>109</v>
      </c>
      <c r="R12" s="23"/>
      <c r="S12" s="34" t="s">
        <v>109</v>
      </c>
      <c r="T12" s="45">
        <v>17</v>
      </c>
      <c r="U12" s="214">
        <v>3630</v>
      </c>
      <c r="V12" s="196">
        <v>3720</v>
      </c>
      <c r="W12" s="194" t="s">
        <v>90</v>
      </c>
    </row>
    <row r="13" spans="1:23" ht="15.75" customHeight="1">
      <c r="A13" s="53">
        <v>8</v>
      </c>
      <c r="B13" s="9"/>
      <c r="C13" s="9"/>
      <c r="D13" s="10" t="s">
        <v>29</v>
      </c>
      <c r="E13" s="9"/>
      <c r="F13" s="10" t="s">
        <v>33</v>
      </c>
      <c r="G13" s="9" t="s">
        <v>21</v>
      </c>
      <c r="H13" s="23" t="e">
        <f>#REF!+35</f>
        <v>#REF!</v>
      </c>
      <c r="I13" s="30" t="e">
        <f>(H13+27)*1.015</f>
        <v>#REF!</v>
      </c>
      <c r="J13" s="194" t="s">
        <v>90</v>
      </c>
      <c r="K13" s="58"/>
      <c r="L13" s="23" t="s">
        <v>109</v>
      </c>
      <c r="M13" s="34"/>
      <c r="N13" s="58"/>
      <c r="O13" s="23"/>
      <c r="P13" s="34"/>
      <c r="Q13" s="23" t="s">
        <v>109</v>
      </c>
      <c r="R13" s="23"/>
      <c r="S13" s="34" t="s">
        <v>109</v>
      </c>
      <c r="T13" s="45">
        <v>17</v>
      </c>
      <c r="U13" s="214">
        <v>3680</v>
      </c>
      <c r="V13" s="196">
        <v>3772</v>
      </c>
      <c r="W13" s="194" t="s">
        <v>90</v>
      </c>
    </row>
    <row r="14" spans="1:23" s="188" customFormat="1" ht="23.25" customHeight="1">
      <c r="A14" s="53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7" t="s">
        <v>21</v>
      </c>
      <c r="H14" s="24" t="e">
        <f>0.27*H15+0.67*H16+0.06*H17</f>
        <v>#REF!</v>
      </c>
      <c r="I14" s="157" t="e">
        <f>I15*0.27+I16*0.67+I17*0.06</f>
        <v>#REF!</v>
      </c>
      <c r="J14" s="195"/>
      <c r="K14" s="24"/>
      <c r="L14" s="24" t="s">
        <v>109</v>
      </c>
      <c r="M14" s="24"/>
      <c r="N14" s="24"/>
      <c r="O14" s="24"/>
      <c r="P14" s="24"/>
      <c r="Q14" s="24" t="s">
        <v>109</v>
      </c>
      <c r="R14" s="24"/>
      <c r="S14" s="24"/>
      <c r="T14" s="45">
        <v>17</v>
      </c>
      <c r="U14" s="215">
        <v>3803</v>
      </c>
      <c r="V14" s="195">
        <v>3897</v>
      </c>
      <c r="W14" s="195"/>
    </row>
    <row r="15" spans="1:23" ht="15" customHeight="1">
      <c r="A15" s="53">
        <v>10</v>
      </c>
      <c r="B15" s="9"/>
      <c r="C15" s="9"/>
      <c r="D15" s="10" t="s">
        <v>37</v>
      </c>
      <c r="E15" s="9"/>
      <c r="F15" s="13" t="s">
        <v>38</v>
      </c>
      <c r="G15" s="9" t="s">
        <v>21</v>
      </c>
      <c r="H15" s="23" t="e">
        <f>#REF!+35</f>
        <v>#REF!</v>
      </c>
      <c r="I15" s="30" t="e">
        <f>(H15+27)*1.015</f>
        <v>#REF!</v>
      </c>
      <c r="J15" s="194" t="s">
        <v>91</v>
      </c>
      <c r="K15" s="58"/>
      <c r="L15" s="23"/>
      <c r="M15" s="201"/>
      <c r="N15" s="58"/>
      <c r="O15" s="23"/>
      <c r="P15" s="34"/>
      <c r="Q15" s="23" t="s">
        <v>109</v>
      </c>
      <c r="R15" s="103"/>
      <c r="S15" s="23" t="s">
        <v>109</v>
      </c>
      <c r="T15" s="45">
        <v>17</v>
      </c>
      <c r="U15" s="214">
        <v>3650</v>
      </c>
      <c r="V15" s="196">
        <v>3741</v>
      </c>
      <c r="W15" s="194" t="s">
        <v>91</v>
      </c>
    </row>
    <row r="16" spans="1:23" ht="15" customHeight="1">
      <c r="A16" s="53">
        <v>11</v>
      </c>
      <c r="B16" s="9"/>
      <c r="C16" s="9"/>
      <c r="D16" s="10" t="s">
        <v>39</v>
      </c>
      <c r="E16" s="9"/>
      <c r="F16" s="13" t="s">
        <v>40</v>
      </c>
      <c r="G16" s="9" t="s">
        <v>21</v>
      </c>
      <c r="H16" s="23" t="e">
        <f>#REF!+35</f>
        <v>#REF!</v>
      </c>
      <c r="I16" s="30" t="e">
        <f>(H16+27)*1.015</f>
        <v>#REF!</v>
      </c>
      <c r="J16" s="194" t="s">
        <v>92</v>
      </c>
      <c r="K16" s="58"/>
      <c r="L16" s="23"/>
      <c r="M16" s="201"/>
      <c r="N16" s="58"/>
      <c r="O16" s="23"/>
      <c r="P16" s="34"/>
      <c r="Q16" s="23" t="s">
        <v>109</v>
      </c>
      <c r="R16" s="23" t="s">
        <v>109</v>
      </c>
      <c r="S16" s="23" t="s">
        <v>109</v>
      </c>
      <c r="T16" s="45">
        <v>17</v>
      </c>
      <c r="U16" s="214">
        <v>3880</v>
      </c>
      <c r="V16" s="196">
        <v>3977</v>
      </c>
      <c r="W16" s="194" t="s">
        <v>219</v>
      </c>
    </row>
    <row r="17" spans="1:23" ht="15" customHeight="1">
      <c r="A17" s="53">
        <v>12</v>
      </c>
      <c r="B17" s="9"/>
      <c r="C17" s="9"/>
      <c r="D17" s="10" t="s">
        <v>41</v>
      </c>
      <c r="E17" s="9"/>
      <c r="F17" s="13" t="s">
        <v>42</v>
      </c>
      <c r="G17" s="9" t="s">
        <v>21</v>
      </c>
      <c r="H17" s="23" t="e">
        <f>#REF!+35</f>
        <v>#REF!</v>
      </c>
      <c r="I17" s="30" t="e">
        <f>(H17+27)*1.015</f>
        <v>#REF!</v>
      </c>
      <c r="J17" s="194" t="s">
        <v>91</v>
      </c>
      <c r="K17" s="58"/>
      <c r="L17" s="23"/>
      <c r="M17" s="201"/>
      <c r="N17" s="58"/>
      <c r="O17" s="23"/>
      <c r="P17" s="34"/>
      <c r="Q17" s="23" t="s">
        <v>109</v>
      </c>
      <c r="R17" s="23" t="s">
        <v>109</v>
      </c>
      <c r="S17" s="23" t="s">
        <v>109</v>
      </c>
      <c r="T17" s="45">
        <v>17</v>
      </c>
      <c r="U17" s="214">
        <v>3630</v>
      </c>
      <c r="V17" s="196">
        <v>3720</v>
      </c>
      <c r="W17" s="194" t="s">
        <v>91</v>
      </c>
    </row>
    <row r="18" spans="1:23" ht="15" customHeight="1">
      <c r="A18" s="53">
        <v>13</v>
      </c>
      <c r="B18" s="9"/>
      <c r="C18" s="6" t="s">
        <v>43</v>
      </c>
      <c r="D18" s="9"/>
      <c r="E18" s="9">
        <v>183</v>
      </c>
      <c r="F18" s="13" t="s">
        <v>44</v>
      </c>
      <c r="G18" s="9" t="s">
        <v>21</v>
      </c>
      <c r="H18" s="23" t="e">
        <f>#REF!+35</f>
        <v>#REF!</v>
      </c>
      <c r="I18" s="30" t="e">
        <f>(H18+27)*1.015</f>
        <v>#REF!</v>
      </c>
      <c r="J18" s="194" t="s">
        <v>91</v>
      </c>
      <c r="K18" s="58" t="s">
        <v>109</v>
      </c>
      <c r="L18" s="23" t="s">
        <v>109</v>
      </c>
      <c r="M18" s="201"/>
      <c r="N18" s="58"/>
      <c r="O18" s="23"/>
      <c r="P18" s="34"/>
      <c r="Q18" s="23" t="s">
        <v>109</v>
      </c>
      <c r="R18" s="23" t="s">
        <v>109</v>
      </c>
      <c r="S18" s="23" t="s">
        <v>109</v>
      </c>
      <c r="T18" s="45">
        <v>17</v>
      </c>
      <c r="U18" s="214">
        <v>4830</v>
      </c>
      <c r="V18" s="196">
        <v>4950</v>
      </c>
      <c r="W18" s="194" t="s">
        <v>159</v>
      </c>
    </row>
    <row r="19" spans="1:23" s="188" customFormat="1" ht="22.5" customHeight="1">
      <c r="A19" s="5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7" t="s">
        <v>21</v>
      </c>
      <c r="H19" s="24" t="e">
        <f>0.6*H20+0.2*H21+0.2*H22</f>
        <v>#REF!</v>
      </c>
      <c r="I19" s="24" t="e">
        <f>0.6*I20+0.2*I21+0.2*I22</f>
        <v>#REF!</v>
      </c>
      <c r="J19" s="195"/>
      <c r="K19" s="24"/>
      <c r="L19" s="24" t="s">
        <v>109</v>
      </c>
      <c r="M19" s="29"/>
      <c r="N19" s="55"/>
      <c r="O19" s="24"/>
      <c r="P19" s="29"/>
      <c r="Q19" s="24" t="s">
        <v>109</v>
      </c>
      <c r="R19" s="24"/>
      <c r="S19" s="24" t="s">
        <v>109</v>
      </c>
      <c r="T19" s="45">
        <v>17</v>
      </c>
      <c r="U19" s="214">
        <v>4226</v>
      </c>
      <c r="V19" s="196">
        <v>4331</v>
      </c>
      <c r="W19" s="195"/>
    </row>
    <row r="20" spans="1:23" ht="15.75" customHeight="1">
      <c r="A20" s="53">
        <v>15</v>
      </c>
      <c r="B20" s="9"/>
      <c r="C20" s="9"/>
      <c r="D20" s="10" t="s">
        <v>48</v>
      </c>
      <c r="E20" s="25"/>
      <c r="F20" s="10" t="s">
        <v>49</v>
      </c>
      <c r="G20" s="9" t="s">
        <v>21</v>
      </c>
      <c r="H20" s="23" t="e">
        <f>#REF!+35</f>
        <v>#REF!</v>
      </c>
      <c r="I20" s="30" t="e">
        <f>(H20+27)*1.015</f>
        <v>#REF!</v>
      </c>
      <c r="J20" s="194" t="s">
        <v>161</v>
      </c>
      <c r="K20" s="58"/>
      <c r="L20" s="23" t="s">
        <v>109</v>
      </c>
      <c r="M20" s="34"/>
      <c r="N20" s="58"/>
      <c r="O20" s="23"/>
      <c r="P20" s="34"/>
      <c r="Q20" s="23" t="s">
        <v>109</v>
      </c>
      <c r="R20" s="23"/>
      <c r="S20" s="34" t="s">
        <v>109</v>
      </c>
      <c r="T20" s="45">
        <v>17</v>
      </c>
      <c r="U20" s="214">
        <v>3920</v>
      </c>
      <c r="V20" s="196">
        <v>4018</v>
      </c>
      <c r="W20" s="194" t="s">
        <v>195</v>
      </c>
    </row>
    <row r="21" spans="1:23" ht="15.75" customHeight="1">
      <c r="A21" s="53">
        <v>16</v>
      </c>
      <c r="B21" s="9"/>
      <c r="C21" s="9"/>
      <c r="D21" s="10" t="s">
        <v>50</v>
      </c>
      <c r="E21" s="25">
        <v>192</v>
      </c>
      <c r="F21" s="10" t="s">
        <v>51</v>
      </c>
      <c r="G21" s="9" t="s">
        <v>21</v>
      </c>
      <c r="H21" s="23" t="e">
        <f>#REF!+35</f>
        <v>#REF!</v>
      </c>
      <c r="I21" s="30" t="e">
        <f>(H21+27)*1.015</f>
        <v>#REF!</v>
      </c>
      <c r="J21" s="194" t="s">
        <v>210</v>
      </c>
      <c r="K21" s="58"/>
      <c r="L21" s="34" t="s">
        <v>109</v>
      </c>
      <c r="M21" s="34"/>
      <c r="N21" s="58"/>
      <c r="O21" s="34"/>
      <c r="P21" s="34"/>
      <c r="Q21" s="34" t="s">
        <v>109</v>
      </c>
      <c r="R21" s="34"/>
      <c r="S21" s="34" t="s">
        <v>109</v>
      </c>
      <c r="T21" s="45">
        <v>17</v>
      </c>
      <c r="U21" s="216">
        <v>4720</v>
      </c>
      <c r="V21" s="217">
        <v>4838</v>
      </c>
      <c r="W21" s="194" t="s">
        <v>220</v>
      </c>
    </row>
    <row r="22" spans="1:23" ht="15.75" customHeight="1">
      <c r="A22" s="53">
        <v>17</v>
      </c>
      <c r="B22" s="9"/>
      <c r="C22" s="9"/>
      <c r="D22" s="10" t="s">
        <v>52</v>
      </c>
      <c r="E22" s="25">
        <v>191</v>
      </c>
      <c r="F22" s="10" t="s">
        <v>53</v>
      </c>
      <c r="G22" s="9" t="s">
        <v>21</v>
      </c>
      <c r="H22" s="23" t="e">
        <f>#REF!+35</f>
        <v>#REF!</v>
      </c>
      <c r="I22" s="30" t="e">
        <f>(H22+27)*1.015</f>
        <v>#REF!</v>
      </c>
      <c r="J22" s="194" t="s">
        <v>221</v>
      </c>
      <c r="K22" s="58"/>
      <c r="L22" s="23"/>
      <c r="M22" s="34"/>
      <c r="N22" s="58"/>
      <c r="O22" s="23"/>
      <c r="P22" s="34"/>
      <c r="Q22" s="23" t="s">
        <v>109</v>
      </c>
      <c r="R22" s="23"/>
      <c r="S22" s="34" t="s">
        <v>109</v>
      </c>
      <c r="T22" s="45">
        <v>17</v>
      </c>
      <c r="U22" s="214">
        <v>4650</v>
      </c>
      <c r="V22" s="196">
        <v>4766</v>
      </c>
      <c r="W22" s="194" t="s">
        <v>94</v>
      </c>
    </row>
    <row r="23" spans="1:23" ht="15.75" customHeight="1">
      <c r="A23" s="53">
        <v>18</v>
      </c>
      <c r="B23" s="9"/>
      <c r="C23" s="10" t="s">
        <v>54</v>
      </c>
      <c r="D23" s="13"/>
      <c r="E23" s="9">
        <v>121</v>
      </c>
      <c r="F23" s="13"/>
      <c r="G23" s="9" t="s">
        <v>21</v>
      </c>
      <c r="H23" s="23" t="e">
        <f>#REF!+35</f>
        <v>#REF!</v>
      </c>
      <c r="I23" s="30" t="e">
        <f>(H23+27)*1.015</f>
        <v>#REF!</v>
      </c>
      <c r="J23" s="34"/>
      <c r="K23" s="58"/>
      <c r="L23" s="23"/>
      <c r="M23" s="34"/>
      <c r="N23" s="58"/>
      <c r="O23" s="23"/>
      <c r="P23" s="34"/>
      <c r="Q23" s="23" t="s">
        <v>109</v>
      </c>
      <c r="R23" s="23"/>
      <c r="S23" s="34"/>
      <c r="T23" s="45">
        <v>17</v>
      </c>
      <c r="U23" s="214"/>
      <c r="V23" s="196" t="s">
        <v>109</v>
      </c>
      <c r="W23" s="217"/>
    </row>
    <row r="24" spans="1:23" ht="15.75" customHeight="1">
      <c r="A24" s="53">
        <v>19</v>
      </c>
      <c r="B24" s="9"/>
      <c r="C24" s="10" t="s">
        <v>55</v>
      </c>
      <c r="D24" s="13"/>
      <c r="E24" s="9">
        <v>125</v>
      </c>
      <c r="F24" s="10" t="s">
        <v>56</v>
      </c>
      <c r="G24" s="9" t="s">
        <v>21</v>
      </c>
      <c r="H24" s="23" t="e">
        <f>#REF!+35</f>
        <v>#REF!</v>
      </c>
      <c r="I24" s="30" t="e">
        <f>(H24+27)*1.015</f>
        <v>#REF!</v>
      </c>
      <c r="J24" s="102"/>
      <c r="K24" s="58" t="s">
        <v>109</v>
      </c>
      <c r="L24" s="23" t="s">
        <v>109</v>
      </c>
      <c r="M24" s="34"/>
      <c r="N24" s="58"/>
      <c r="O24" s="23"/>
      <c r="P24" s="34"/>
      <c r="Q24" s="23" t="s">
        <v>109</v>
      </c>
      <c r="R24" s="23" t="s">
        <v>109</v>
      </c>
      <c r="S24" s="34" t="s">
        <v>109</v>
      </c>
      <c r="T24" s="45">
        <v>17</v>
      </c>
      <c r="U24" s="214">
        <v>5250</v>
      </c>
      <c r="V24" s="196">
        <v>5381</v>
      </c>
      <c r="W24" s="194"/>
    </row>
    <row r="25" spans="1:20" s="188" customFormat="1" ht="22.5" customHeight="1">
      <c r="A25" s="53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7" t="s">
        <v>21</v>
      </c>
      <c r="H25" s="24">
        <f>0.75*H27+0.25*H29</f>
        <v>315</v>
      </c>
      <c r="I25" s="24">
        <f>0.75*I27+0.25*I29</f>
        <v>333.17375</v>
      </c>
      <c r="J25" s="29"/>
      <c r="K25" s="55">
        <f>0.75*K27+0.25*K29</f>
        <v>320</v>
      </c>
      <c r="L25" s="55">
        <f>0.75*L27+0.25*L29</f>
        <v>338.29949999999997</v>
      </c>
      <c r="M25" s="29"/>
      <c r="N25" s="55">
        <f>0.75*N27+0.25*N29</f>
        <v>313.75</v>
      </c>
      <c r="O25" s="55">
        <f>0.75*O27+0.25*O29</f>
        <v>331.89231249999995</v>
      </c>
      <c r="P25" s="29"/>
      <c r="Q25" s="24">
        <f>0.75*Q27+0.25*Q29</f>
        <v>297.5</v>
      </c>
      <c r="R25" s="24">
        <f>0.75*R27+0.25*R29</f>
        <v>315.23362499999996</v>
      </c>
      <c r="S25" s="24"/>
      <c r="T25" s="45">
        <v>17</v>
      </c>
    </row>
    <row r="26" spans="1:20" ht="15.75" customHeight="1">
      <c r="A26" s="53">
        <v>21</v>
      </c>
      <c r="B26" s="9"/>
      <c r="C26" s="13" t="s">
        <v>60</v>
      </c>
      <c r="D26" s="13"/>
      <c r="E26" s="9">
        <v>832</v>
      </c>
      <c r="F26" s="10" t="s">
        <v>61</v>
      </c>
      <c r="G26" s="9" t="s">
        <v>21</v>
      </c>
      <c r="H26" s="9">
        <v>325</v>
      </c>
      <c r="I26" s="30">
        <f>(H26+10)*1.015*1.01</f>
        <v>343.42525</v>
      </c>
      <c r="J26" s="196" t="s">
        <v>222</v>
      </c>
      <c r="K26" s="192">
        <v>330</v>
      </c>
      <c r="L26" s="30">
        <f>(K26+10)*1.015*1.01</f>
        <v>348.551</v>
      </c>
      <c r="M26" s="23" t="s">
        <v>13</v>
      </c>
      <c r="N26" s="202">
        <v>325</v>
      </c>
      <c r="O26" s="30">
        <f>(N26+10)*1.015*1.01</f>
        <v>343.42525</v>
      </c>
      <c r="P26" s="196" t="s">
        <v>222</v>
      </c>
      <c r="Q26" s="204">
        <v>305</v>
      </c>
      <c r="R26" s="30">
        <f>(Q26+10)*1.015*1.01</f>
        <v>322.92224999999996</v>
      </c>
      <c r="S26" s="196" t="s">
        <v>99</v>
      </c>
      <c r="T26" s="45">
        <v>17</v>
      </c>
    </row>
    <row r="27" spans="1:20" ht="15.75" customHeight="1">
      <c r="A27" s="53">
        <v>22</v>
      </c>
      <c r="B27" s="9"/>
      <c r="C27" s="13" t="s">
        <v>60</v>
      </c>
      <c r="D27" s="13"/>
      <c r="E27" s="9"/>
      <c r="F27" s="10" t="s">
        <v>62</v>
      </c>
      <c r="G27" s="9" t="s">
        <v>21</v>
      </c>
      <c r="H27" s="9">
        <v>305</v>
      </c>
      <c r="I27" s="30">
        <f>(H27+10)*1.015*1.01</f>
        <v>322.92224999999996</v>
      </c>
      <c r="J27" s="196" t="s">
        <v>222</v>
      </c>
      <c r="K27" s="192">
        <v>310</v>
      </c>
      <c r="L27" s="30">
        <f>(K27+10)*1.015*1.01</f>
        <v>328.04799999999994</v>
      </c>
      <c r="M27" s="23" t="s">
        <v>13</v>
      </c>
      <c r="N27" s="202">
        <v>305</v>
      </c>
      <c r="O27" s="30">
        <f>(N27+10)*1.015*1.01</f>
        <v>322.92224999999996</v>
      </c>
      <c r="P27" s="196" t="s">
        <v>222</v>
      </c>
      <c r="Q27" s="204">
        <v>285</v>
      </c>
      <c r="R27" s="30">
        <f>(Q27+10)*1.015*1.01</f>
        <v>302.41925</v>
      </c>
      <c r="S27" s="196" t="s">
        <v>99</v>
      </c>
      <c r="T27" s="45">
        <v>17</v>
      </c>
    </row>
    <row r="28" spans="1:20" ht="15.75" customHeight="1">
      <c r="A28" s="53">
        <v>23</v>
      </c>
      <c r="B28" s="9"/>
      <c r="C28" s="13" t="s">
        <v>63</v>
      </c>
      <c r="D28" s="13"/>
      <c r="E28" s="9">
        <v>833</v>
      </c>
      <c r="F28" s="10" t="s">
        <v>61</v>
      </c>
      <c r="G28" s="9" t="s">
        <v>21</v>
      </c>
      <c r="H28" s="9">
        <v>365</v>
      </c>
      <c r="I28" s="30">
        <f>(H28+10)*1.015*1.01</f>
        <v>384.4312499999999</v>
      </c>
      <c r="J28" s="196" t="s">
        <v>222</v>
      </c>
      <c r="K28" s="192">
        <v>370</v>
      </c>
      <c r="L28" s="30">
        <f>(K28+10)*1.015*1.01</f>
        <v>389.557</v>
      </c>
      <c r="M28" s="23" t="s">
        <v>13</v>
      </c>
      <c r="N28" s="202">
        <v>360</v>
      </c>
      <c r="O28" s="30">
        <f>(N28+10)*1.015*1.01</f>
        <v>379.30549999999994</v>
      </c>
      <c r="P28" s="196" t="s">
        <v>222</v>
      </c>
      <c r="Q28" s="204">
        <v>355</v>
      </c>
      <c r="R28" s="30">
        <f>(Q28+10)*1.015*1.01</f>
        <v>374.17974999999996</v>
      </c>
      <c r="S28" s="196" t="s">
        <v>99</v>
      </c>
      <c r="T28" s="45">
        <v>17</v>
      </c>
    </row>
    <row r="29" spans="1:20" ht="17.25" customHeight="1">
      <c r="A29" s="53">
        <v>24</v>
      </c>
      <c r="B29" s="9"/>
      <c r="C29" s="13" t="s">
        <v>63</v>
      </c>
      <c r="D29" s="13"/>
      <c r="E29" s="9"/>
      <c r="F29" s="10" t="s">
        <v>62</v>
      </c>
      <c r="G29" s="9" t="s">
        <v>21</v>
      </c>
      <c r="H29" s="9">
        <v>345</v>
      </c>
      <c r="I29" s="30">
        <f>(H29+10)*1.015*1.01</f>
        <v>363.92825</v>
      </c>
      <c r="J29" s="196" t="s">
        <v>222</v>
      </c>
      <c r="K29" s="192">
        <v>350</v>
      </c>
      <c r="L29" s="30">
        <f>(K29+10)*1.015*1.01</f>
        <v>369.054</v>
      </c>
      <c r="M29" s="23" t="s">
        <v>13</v>
      </c>
      <c r="N29" s="202">
        <v>340</v>
      </c>
      <c r="O29" s="30">
        <f>(N29+10)*1.015*1.01</f>
        <v>358.80249999999995</v>
      </c>
      <c r="P29" s="196" t="s">
        <v>222</v>
      </c>
      <c r="Q29" s="204">
        <v>335</v>
      </c>
      <c r="R29" s="30">
        <f>(Q29+10)*1.015*1.01</f>
        <v>353.67674999999997</v>
      </c>
      <c r="S29" s="196" t="s">
        <v>99</v>
      </c>
      <c r="T29" s="45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78"/>
      <c r="E31" s="104"/>
      <c r="F31" s="7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39"/>
      <c r="C32" s="39"/>
      <c r="D32" s="39"/>
      <c r="E32" s="39"/>
      <c r="F32" s="39"/>
      <c r="G32" s="39"/>
      <c r="H32" s="39"/>
      <c r="I32" s="39"/>
      <c r="J32" s="190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7"/>
      <c r="J33" s="198"/>
      <c r="K33" s="59" t="s">
        <v>225</v>
      </c>
      <c r="L33" s="197"/>
      <c r="M33" s="198"/>
      <c r="N33" s="59"/>
      <c r="O33" s="197"/>
      <c r="P33" s="198"/>
      <c r="Q33" s="6" t="s">
        <v>77</v>
      </c>
      <c r="R33" s="46" t="s">
        <v>78</v>
      </c>
      <c r="S33" s="43" t="s">
        <v>80</v>
      </c>
    </row>
    <row r="34" spans="1:21" ht="18" customHeight="1">
      <c r="A34" s="53"/>
      <c r="B34" s="53"/>
      <c r="C34" s="108"/>
      <c r="D34" s="109"/>
      <c r="E34" s="53"/>
      <c r="F34" s="53"/>
      <c r="G34" s="53"/>
      <c r="H34" s="6" t="s">
        <v>14</v>
      </c>
      <c r="I34" s="6" t="s">
        <v>15</v>
      </c>
      <c r="J34" s="80" t="s">
        <v>106</v>
      </c>
      <c r="K34" s="6" t="s">
        <v>14</v>
      </c>
      <c r="L34" s="6" t="s">
        <v>15</v>
      </c>
      <c r="M34" s="80" t="s">
        <v>106</v>
      </c>
      <c r="N34" s="6"/>
      <c r="O34" s="6"/>
      <c r="P34" s="6"/>
      <c r="Q34" s="9"/>
      <c r="R34" s="53"/>
      <c r="S34" s="43"/>
      <c r="T34" s="205"/>
      <c r="U34" s="198"/>
    </row>
    <row r="35" spans="1:21" s="188" customFormat="1" ht="23.25" customHeight="1">
      <c r="A35" s="53">
        <v>1</v>
      </c>
      <c r="B35" s="6" t="s">
        <v>16</v>
      </c>
      <c r="C35" s="6" t="s">
        <v>17</v>
      </c>
      <c r="D35" s="8" t="s">
        <v>18</v>
      </c>
      <c r="E35" s="9" t="s">
        <v>19</v>
      </c>
      <c r="F35" s="21" t="s">
        <v>20</v>
      </c>
      <c r="G35" s="7" t="s">
        <v>21</v>
      </c>
      <c r="H35" s="55"/>
      <c r="I35" s="22" t="s">
        <v>109</v>
      </c>
      <c r="J35" s="29"/>
      <c r="K35" s="55"/>
      <c r="L35" s="22"/>
      <c r="M35" s="29"/>
      <c r="N35" s="29"/>
      <c r="O35" s="22"/>
      <c r="P35" s="29"/>
      <c r="Q35" s="22" t="e">
        <f aca="true" t="shared" si="0" ref="Q35:R50">AVERAGE(H6,K6,N6,Q6,H35,K35)</f>
        <v>#REF!</v>
      </c>
      <c r="R35" s="22" t="e">
        <f t="shared" si="0"/>
        <v>#REF!</v>
      </c>
      <c r="S35" s="44">
        <v>17</v>
      </c>
      <c r="T35" s="206"/>
      <c r="U35" s="55"/>
    </row>
    <row r="36" spans="1:21" ht="25.5" customHeight="1">
      <c r="A36" s="53">
        <v>2</v>
      </c>
      <c r="B36" s="9"/>
      <c r="C36" s="9"/>
      <c r="D36" s="10" t="s">
        <v>22</v>
      </c>
      <c r="E36" s="9"/>
      <c r="F36" s="10" t="s">
        <v>23</v>
      </c>
      <c r="G36" s="9" t="s">
        <v>21</v>
      </c>
      <c r="H36" s="58"/>
      <c r="I36" s="23" t="s">
        <v>109</v>
      </c>
      <c r="J36" s="34"/>
      <c r="K36" s="58"/>
      <c r="L36" s="23"/>
      <c r="M36" s="34"/>
      <c r="N36" s="34"/>
      <c r="O36" s="23"/>
      <c r="P36" s="34"/>
      <c r="Q36" s="30" t="e">
        <f t="shared" si="0"/>
        <v>#REF!</v>
      </c>
      <c r="R36" s="30" t="e">
        <f t="shared" si="0"/>
        <v>#REF!</v>
      </c>
      <c r="S36" s="45">
        <v>17</v>
      </c>
      <c r="T36" s="207"/>
      <c r="U36" s="218"/>
    </row>
    <row r="37" spans="1:21" ht="15.75" customHeight="1">
      <c r="A37" s="53">
        <v>3</v>
      </c>
      <c r="B37" s="9"/>
      <c r="C37" s="9"/>
      <c r="D37" s="10" t="s">
        <v>24</v>
      </c>
      <c r="E37" s="9"/>
      <c r="F37" s="10" t="s">
        <v>25</v>
      </c>
      <c r="G37" s="9" t="s">
        <v>21</v>
      </c>
      <c r="H37" s="58"/>
      <c r="I37" s="23" t="s">
        <v>109</v>
      </c>
      <c r="J37" s="34"/>
      <c r="K37" s="58"/>
      <c r="L37" s="23"/>
      <c r="M37" s="34"/>
      <c r="N37" s="34"/>
      <c r="O37" s="23"/>
      <c r="P37" s="34"/>
      <c r="Q37" s="30" t="e">
        <f t="shared" si="0"/>
        <v>#REF!</v>
      </c>
      <c r="R37" s="30" t="e">
        <f t="shared" si="0"/>
        <v>#REF!</v>
      </c>
      <c r="S37" s="45">
        <v>17</v>
      </c>
      <c r="T37" s="207"/>
      <c r="U37" s="218"/>
    </row>
    <row r="38" spans="1:21" s="188" customFormat="1" ht="44.25" customHeight="1">
      <c r="A38" s="53">
        <v>4</v>
      </c>
      <c r="B38" s="9"/>
      <c r="C38" s="6" t="s">
        <v>26</v>
      </c>
      <c r="D38" s="11" t="s">
        <v>27</v>
      </c>
      <c r="E38" s="9">
        <v>112</v>
      </c>
      <c r="F38" s="21" t="s">
        <v>28</v>
      </c>
      <c r="G38" s="7" t="s">
        <v>21</v>
      </c>
      <c r="H38" s="191" t="s">
        <v>109</v>
      </c>
      <c r="I38" s="22" t="s">
        <v>109</v>
      </c>
      <c r="J38" s="29"/>
      <c r="K38" s="55"/>
      <c r="L38" s="22"/>
      <c r="M38" s="29"/>
      <c r="N38" s="29"/>
      <c r="O38" s="22"/>
      <c r="P38" s="29"/>
      <c r="Q38" s="22" t="e">
        <f t="shared" si="0"/>
        <v>#REF!</v>
      </c>
      <c r="R38" s="22" t="e">
        <f t="shared" si="0"/>
        <v>#REF!</v>
      </c>
      <c r="S38" s="44">
        <v>17</v>
      </c>
      <c r="T38" s="206"/>
      <c r="U38" s="55"/>
    </row>
    <row r="39" spans="1:21" ht="15.75" customHeight="1">
      <c r="A39" s="53">
        <v>5</v>
      </c>
      <c r="B39" s="9"/>
      <c r="C39" s="9"/>
      <c r="D39" s="10" t="s">
        <v>29</v>
      </c>
      <c r="E39" s="9"/>
      <c r="F39" s="10" t="s">
        <v>30</v>
      </c>
      <c r="G39" s="9" t="s">
        <v>21</v>
      </c>
      <c r="H39" s="58"/>
      <c r="I39" s="23" t="s">
        <v>109</v>
      </c>
      <c r="J39" s="34"/>
      <c r="K39" s="58"/>
      <c r="L39" s="23"/>
      <c r="M39" s="34"/>
      <c r="N39" s="34"/>
      <c r="O39" s="23"/>
      <c r="P39" s="34"/>
      <c r="Q39" s="30" t="e">
        <f t="shared" si="0"/>
        <v>#REF!</v>
      </c>
      <c r="R39" s="30" t="e">
        <f t="shared" si="0"/>
        <v>#REF!</v>
      </c>
      <c r="S39" s="45">
        <v>17</v>
      </c>
      <c r="T39" s="207"/>
      <c r="U39" s="218"/>
    </row>
    <row r="40" spans="1:21" ht="15.75" customHeight="1">
      <c r="A40" s="53">
        <v>6</v>
      </c>
      <c r="B40" s="9"/>
      <c r="C40" s="9"/>
      <c r="D40" s="10" t="s">
        <v>29</v>
      </c>
      <c r="E40" s="9"/>
      <c r="F40" s="10" t="s">
        <v>31</v>
      </c>
      <c r="G40" s="9" t="s">
        <v>21</v>
      </c>
      <c r="H40" s="58"/>
      <c r="I40" s="23" t="s">
        <v>109</v>
      </c>
      <c r="J40" s="34"/>
      <c r="K40" s="58"/>
      <c r="L40" s="23"/>
      <c r="M40" s="34"/>
      <c r="N40" s="34"/>
      <c r="O40" s="23"/>
      <c r="P40" s="34"/>
      <c r="Q40" s="30" t="e">
        <f t="shared" si="0"/>
        <v>#REF!</v>
      </c>
      <c r="R40" s="30" t="e">
        <f t="shared" si="0"/>
        <v>#REF!</v>
      </c>
      <c r="S40" s="45">
        <v>17</v>
      </c>
      <c r="T40" s="207"/>
      <c r="U40" s="218"/>
    </row>
    <row r="41" spans="1:21" ht="15.75" customHeight="1">
      <c r="A41" s="53">
        <v>7</v>
      </c>
      <c r="B41" s="9"/>
      <c r="C41" s="9"/>
      <c r="D41" s="10" t="s">
        <v>29</v>
      </c>
      <c r="E41" s="9"/>
      <c r="F41" s="10" t="s">
        <v>32</v>
      </c>
      <c r="G41" s="9" t="s">
        <v>21</v>
      </c>
      <c r="H41" s="58"/>
      <c r="I41" s="23" t="s">
        <v>109</v>
      </c>
      <c r="J41" s="34"/>
      <c r="K41" s="58"/>
      <c r="L41" s="23"/>
      <c r="M41" s="34"/>
      <c r="N41" s="34"/>
      <c r="O41" s="23"/>
      <c r="P41" s="34"/>
      <c r="Q41" s="30" t="e">
        <f t="shared" si="0"/>
        <v>#REF!</v>
      </c>
      <c r="R41" s="30" t="e">
        <f t="shared" si="0"/>
        <v>#REF!</v>
      </c>
      <c r="S41" s="45">
        <v>17</v>
      </c>
      <c r="T41" s="207"/>
      <c r="U41" s="218"/>
    </row>
    <row r="42" spans="1:21" ht="15.75" customHeight="1">
      <c r="A42" s="53">
        <v>8</v>
      </c>
      <c r="B42" s="9"/>
      <c r="C42" s="9"/>
      <c r="D42" s="10" t="s">
        <v>29</v>
      </c>
      <c r="E42" s="9"/>
      <c r="F42" s="10" t="s">
        <v>33</v>
      </c>
      <c r="G42" s="9" t="s">
        <v>21</v>
      </c>
      <c r="H42" s="58"/>
      <c r="I42" s="23" t="s">
        <v>109</v>
      </c>
      <c r="J42" s="34"/>
      <c r="K42" s="58"/>
      <c r="L42" s="23"/>
      <c r="M42" s="34"/>
      <c r="N42" s="34"/>
      <c r="O42" s="23"/>
      <c r="P42" s="34"/>
      <c r="Q42" s="30" t="e">
        <f t="shared" si="0"/>
        <v>#REF!</v>
      </c>
      <c r="R42" s="30" t="e">
        <f t="shared" si="0"/>
        <v>#REF!</v>
      </c>
      <c r="S42" s="45">
        <v>17</v>
      </c>
      <c r="T42" s="207"/>
      <c r="U42" s="218"/>
    </row>
    <row r="43" spans="1:21" s="188" customFormat="1" ht="27" customHeight="1">
      <c r="A43" s="53">
        <v>9</v>
      </c>
      <c r="B43" s="9"/>
      <c r="C43" s="6" t="s">
        <v>34</v>
      </c>
      <c r="D43" s="11" t="s">
        <v>35</v>
      </c>
      <c r="E43" s="9">
        <v>182</v>
      </c>
      <c r="F43" s="21" t="s">
        <v>36</v>
      </c>
      <c r="G43" s="7" t="s">
        <v>21</v>
      </c>
      <c r="H43" s="24"/>
      <c r="I43" s="24" t="s">
        <v>109</v>
      </c>
      <c r="J43" s="24"/>
      <c r="K43" s="24"/>
      <c r="L43" s="24"/>
      <c r="M43" s="24"/>
      <c r="N43" s="24"/>
      <c r="O43" s="24"/>
      <c r="P43" s="24"/>
      <c r="Q43" s="22" t="e">
        <f t="shared" si="0"/>
        <v>#REF!</v>
      </c>
      <c r="R43" s="22" t="e">
        <f t="shared" si="0"/>
        <v>#REF!</v>
      </c>
      <c r="S43" s="45">
        <v>17</v>
      </c>
      <c r="T43" s="208"/>
      <c r="U43" s="219"/>
    </row>
    <row r="44" spans="1:21" ht="15.75" customHeight="1">
      <c r="A44" s="53">
        <v>10</v>
      </c>
      <c r="B44" s="9"/>
      <c r="C44" s="9"/>
      <c r="D44" s="10" t="s">
        <v>37</v>
      </c>
      <c r="E44" s="9"/>
      <c r="F44" s="13" t="s">
        <v>38</v>
      </c>
      <c r="G44" s="9" t="s">
        <v>21</v>
      </c>
      <c r="H44" s="58"/>
      <c r="I44" s="23" t="s">
        <v>109</v>
      </c>
      <c r="J44" s="34"/>
      <c r="K44" s="58"/>
      <c r="L44" s="23"/>
      <c r="M44" s="34"/>
      <c r="N44" s="34"/>
      <c r="O44" s="23"/>
      <c r="P44" s="34"/>
      <c r="Q44" s="30" t="e">
        <f t="shared" si="0"/>
        <v>#REF!</v>
      </c>
      <c r="R44" s="30" t="e">
        <f t="shared" si="0"/>
        <v>#REF!</v>
      </c>
      <c r="S44" s="45">
        <v>17</v>
      </c>
      <c r="T44" s="207"/>
      <c r="U44" s="218"/>
    </row>
    <row r="45" spans="1:21" ht="15.75" customHeight="1">
      <c r="A45" s="53">
        <v>11</v>
      </c>
      <c r="B45" s="9"/>
      <c r="C45" s="9"/>
      <c r="D45" s="10" t="s">
        <v>39</v>
      </c>
      <c r="E45" s="9"/>
      <c r="F45" s="13" t="s">
        <v>40</v>
      </c>
      <c r="G45" s="9" t="s">
        <v>21</v>
      </c>
      <c r="H45" s="58"/>
      <c r="I45" s="23" t="s">
        <v>109</v>
      </c>
      <c r="J45" s="34"/>
      <c r="K45" s="58"/>
      <c r="L45" s="23"/>
      <c r="M45" s="34"/>
      <c r="N45" s="34"/>
      <c r="O45" s="23"/>
      <c r="P45" s="34"/>
      <c r="Q45" s="30" t="e">
        <f t="shared" si="0"/>
        <v>#REF!</v>
      </c>
      <c r="R45" s="30" t="e">
        <f t="shared" si="0"/>
        <v>#REF!</v>
      </c>
      <c r="S45" s="45">
        <v>17</v>
      </c>
      <c r="T45" s="207"/>
      <c r="U45" s="218"/>
    </row>
    <row r="46" spans="1:21" ht="15.75" customHeight="1">
      <c r="A46" s="53">
        <v>12</v>
      </c>
      <c r="B46" s="9"/>
      <c r="C46" s="9"/>
      <c r="D46" s="10" t="s">
        <v>41</v>
      </c>
      <c r="E46" s="9"/>
      <c r="F46" s="13" t="s">
        <v>42</v>
      </c>
      <c r="G46" s="9" t="s">
        <v>21</v>
      </c>
      <c r="H46" s="58"/>
      <c r="I46" s="23" t="s">
        <v>109</v>
      </c>
      <c r="J46" s="34"/>
      <c r="K46" s="58"/>
      <c r="L46" s="23"/>
      <c r="M46" s="34"/>
      <c r="N46" s="34"/>
      <c r="O46" s="23"/>
      <c r="P46" s="34"/>
      <c r="Q46" s="30" t="e">
        <f t="shared" si="0"/>
        <v>#REF!</v>
      </c>
      <c r="R46" s="30" t="e">
        <f t="shared" si="0"/>
        <v>#REF!</v>
      </c>
      <c r="S46" s="45">
        <v>17</v>
      </c>
      <c r="T46" s="207"/>
      <c r="U46" s="218"/>
    </row>
    <row r="47" spans="1:21" ht="15.75" customHeight="1">
      <c r="A47" s="53">
        <v>13</v>
      </c>
      <c r="B47" s="9"/>
      <c r="C47" s="6" t="s">
        <v>43</v>
      </c>
      <c r="D47" s="9"/>
      <c r="E47" s="9">
        <v>183</v>
      </c>
      <c r="F47" s="13" t="s">
        <v>44</v>
      </c>
      <c r="G47" s="9" t="s">
        <v>21</v>
      </c>
      <c r="H47" s="58" t="s">
        <v>109</v>
      </c>
      <c r="I47" s="23" t="s">
        <v>109</v>
      </c>
      <c r="J47" s="34"/>
      <c r="K47" s="58"/>
      <c r="L47" s="23"/>
      <c r="M47" s="34"/>
      <c r="N47" s="34"/>
      <c r="O47" s="23"/>
      <c r="P47" s="34"/>
      <c r="Q47" s="30" t="e">
        <f t="shared" si="0"/>
        <v>#REF!</v>
      </c>
      <c r="R47" s="30" t="e">
        <f t="shared" si="0"/>
        <v>#REF!</v>
      </c>
      <c r="S47" s="45">
        <v>17</v>
      </c>
      <c r="T47" s="207"/>
      <c r="U47" s="218"/>
    </row>
    <row r="48" spans="1:21" s="188" customFormat="1" ht="22.5" customHeight="1">
      <c r="A48" s="53">
        <v>14</v>
      </c>
      <c r="B48" s="9"/>
      <c r="C48" s="6" t="s">
        <v>45</v>
      </c>
      <c r="D48" s="11" t="s">
        <v>46</v>
      </c>
      <c r="E48" s="25"/>
      <c r="F48" s="21" t="s">
        <v>47</v>
      </c>
      <c r="G48" s="7" t="s">
        <v>21</v>
      </c>
      <c r="H48" s="24"/>
      <c r="I48" s="24" t="s">
        <v>109</v>
      </c>
      <c r="J48" s="29"/>
      <c r="K48" s="55"/>
      <c r="L48" s="24"/>
      <c r="M48" s="29"/>
      <c r="N48" s="29"/>
      <c r="O48" s="24"/>
      <c r="P48" s="29"/>
      <c r="Q48" s="22" t="e">
        <f t="shared" si="0"/>
        <v>#REF!</v>
      </c>
      <c r="R48" s="22" t="e">
        <f t="shared" si="0"/>
        <v>#REF!</v>
      </c>
      <c r="S48" s="45">
        <v>17</v>
      </c>
      <c r="T48" s="208"/>
      <c r="U48" s="219"/>
    </row>
    <row r="49" spans="1:21" ht="15.75" customHeight="1">
      <c r="A49" s="53">
        <v>15</v>
      </c>
      <c r="B49" s="9"/>
      <c r="C49" s="9"/>
      <c r="D49" s="10" t="s">
        <v>48</v>
      </c>
      <c r="E49" s="25"/>
      <c r="F49" s="10" t="s">
        <v>49</v>
      </c>
      <c r="G49" s="9" t="s">
        <v>21</v>
      </c>
      <c r="H49" s="58"/>
      <c r="I49" s="23" t="s">
        <v>109</v>
      </c>
      <c r="J49" s="34"/>
      <c r="K49" s="58"/>
      <c r="L49" s="23"/>
      <c r="M49" s="34"/>
      <c r="N49" s="34"/>
      <c r="O49" s="23"/>
      <c r="P49" s="34"/>
      <c r="Q49" s="30" t="e">
        <f t="shared" si="0"/>
        <v>#REF!</v>
      </c>
      <c r="R49" s="30" t="e">
        <f t="shared" si="0"/>
        <v>#REF!</v>
      </c>
      <c r="S49" s="45">
        <v>17</v>
      </c>
      <c r="T49" s="207"/>
      <c r="U49" s="218"/>
    </row>
    <row r="50" spans="1:21" ht="15.75" customHeight="1">
      <c r="A50" s="53">
        <v>16</v>
      </c>
      <c r="B50" s="9"/>
      <c r="C50" s="9"/>
      <c r="D50" s="10" t="s">
        <v>50</v>
      </c>
      <c r="E50" s="25">
        <v>192</v>
      </c>
      <c r="F50" s="10" t="s">
        <v>51</v>
      </c>
      <c r="G50" s="9" t="s">
        <v>21</v>
      </c>
      <c r="H50" s="58"/>
      <c r="I50" s="34" t="s">
        <v>109</v>
      </c>
      <c r="J50" s="34"/>
      <c r="K50" s="58"/>
      <c r="L50" s="34"/>
      <c r="M50" s="34"/>
      <c r="N50" s="34"/>
      <c r="O50" s="34"/>
      <c r="P50" s="34"/>
      <c r="Q50" s="30" t="e">
        <f t="shared" si="0"/>
        <v>#REF!</v>
      </c>
      <c r="R50" s="30" t="e">
        <f t="shared" si="0"/>
        <v>#REF!</v>
      </c>
      <c r="S50" s="45">
        <v>17</v>
      </c>
      <c r="T50" s="209"/>
      <c r="U50" s="220"/>
    </row>
    <row r="51" spans="1:21" ht="15.75" customHeight="1">
      <c r="A51" s="53">
        <v>17</v>
      </c>
      <c r="B51" s="9"/>
      <c r="C51" s="9"/>
      <c r="D51" s="10" t="s">
        <v>52</v>
      </c>
      <c r="E51" s="25">
        <v>191</v>
      </c>
      <c r="F51" s="10" t="s">
        <v>53</v>
      </c>
      <c r="G51" s="9" t="s">
        <v>21</v>
      </c>
      <c r="H51" s="58"/>
      <c r="I51" s="23"/>
      <c r="J51" s="34"/>
      <c r="K51" s="58"/>
      <c r="L51" s="23"/>
      <c r="M51" s="34"/>
      <c r="N51" s="34"/>
      <c r="O51" s="23"/>
      <c r="P51" s="34"/>
      <c r="Q51" s="30" t="e">
        <f aca="true" t="shared" si="1" ref="Q51:R58">AVERAGE(H22,K22,N22,Q22,H51,K51)</f>
        <v>#REF!</v>
      </c>
      <c r="R51" s="30" t="e">
        <f t="shared" si="1"/>
        <v>#REF!</v>
      </c>
      <c r="S51" s="45">
        <v>17</v>
      </c>
      <c r="T51" s="207"/>
      <c r="U51" s="218"/>
    </row>
    <row r="52" spans="1:21" ht="15.75" customHeight="1">
      <c r="A52" s="53">
        <v>18</v>
      </c>
      <c r="B52" s="9"/>
      <c r="C52" s="10" t="s">
        <v>54</v>
      </c>
      <c r="D52" s="13"/>
      <c r="E52" s="9">
        <v>121</v>
      </c>
      <c r="F52" s="13"/>
      <c r="G52" s="9" t="s">
        <v>21</v>
      </c>
      <c r="H52" s="58"/>
      <c r="I52" s="23"/>
      <c r="J52" s="34"/>
      <c r="K52" s="58"/>
      <c r="L52" s="23"/>
      <c r="M52" s="34"/>
      <c r="N52" s="34"/>
      <c r="O52" s="23"/>
      <c r="P52" s="34"/>
      <c r="Q52" s="30" t="e">
        <f t="shared" si="1"/>
        <v>#REF!</v>
      </c>
      <c r="R52" s="30" t="e">
        <f t="shared" si="1"/>
        <v>#REF!</v>
      </c>
      <c r="S52" s="45">
        <v>17</v>
      </c>
      <c r="T52" s="207"/>
      <c r="U52" s="218"/>
    </row>
    <row r="53" spans="1:21" ht="15.75" customHeight="1">
      <c r="A53" s="53">
        <v>19</v>
      </c>
      <c r="B53" s="9"/>
      <c r="C53" s="10" t="s">
        <v>55</v>
      </c>
      <c r="D53" s="13"/>
      <c r="E53" s="9">
        <v>125</v>
      </c>
      <c r="F53" s="10" t="s">
        <v>56</v>
      </c>
      <c r="G53" s="9" t="s">
        <v>21</v>
      </c>
      <c r="H53" s="58" t="s">
        <v>109</v>
      </c>
      <c r="I53" s="23" t="s">
        <v>109</v>
      </c>
      <c r="J53" s="34"/>
      <c r="K53" s="58"/>
      <c r="L53" s="23"/>
      <c r="M53" s="34"/>
      <c r="N53" s="34"/>
      <c r="O53" s="23"/>
      <c r="P53" s="34"/>
      <c r="Q53" s="30" t="e">
        <f t="shared" si="1"/>
        <v>#REF!</v>
      </c>
      <c r="R53" s="30" t="e">
        <f t="shared" si="1"/>
        <v>#REF!</v>
      </c>
      <c r="S53" s="45">
        <v>17</v>
      </c>
      <c r="T53" s="207"/>
      <c r="U53" s="218"/>
    </row>
    <row r="54" spans="1:19" s="188" customFormat="1" ht="22.5" customHeight="1">
      <c r="A54" s="53">
        <v>20</v>
      </c>
      <c r="B54" s="6" t="s">
        <v>57</v>
      </c>
      <c r="C54" s="11" t="s">
        <v>58</v>
      </c>
      <c r="D54" s="14"/>
      <c r="E54" s="7"/>
      <c r="F54" s="21" t="s">
        <v>59</v>
      </c>
      <c r="G54" s="7" t="s">
        <v>21</v>
      </c>
      <c r="H54" s="24">
        <f>0.75*H56+0.25*H58</f>
        <v>305</v>
      </c>
      <c r="I54" s="24">
        <f>0.75*I56+0.25*I58</f>
        <v>322.92224999999996</v>
      </c>
      <c r="J54" s="29"/>
      <c r="K54" s="24">
        <f>0.75*K56+0.25*K58</f>
        <v>330</v>
      </c>
      <c r="L54" s="24">
        <f>0.75*L56+0.25*L58</f>
        <v>348.55099999999993</v>
      </c>
      <c r="M54" s="29"/>
      <c r="N54" s="24"/>
      <c r="O54" s="24"/>
      <c r="P54" s="29"/>
      <c r="Q54" s="22">
        <f t="shared" si="1"/>
        <v>313.5416666666667</v>
      </c>
      <c r="R54" s="22">
        <f t="shared" si="1"/>
        <v>331.6787395833333</v>
      </c>
      <c r="S54" s="45">
        <v>17</v>
      </c>
    </row>
    <row r="55" spans="1:19" ht="15.75" customHeight="1">
      <c r="A55" s="53">
        <v>21</v>
      </c>
      <c r="B55" s="9"/>
      <c r="C55" s="13" t="s">
        <v>60</v>
      </c>
      <c r="D55" s="13"/>
      <c r="E55" s="9">
        <v>832</v>
      </c>
      <c r="F55" s="10" t="s">
        <v>61</v>
      </c>
      <c r="G55" s="9" t="s">
        <v>21</v>
      </c>
      <c r="H55" s="192">
        <v>315</v>
      </c>
      <c r="I55" s="23">
        <f>(H55+10)*1.015*1.01</f>
        <v>333.1737499999999</v>
      </c>
      <c r="J55" s="23" t="s">
        <v>212</v>
      </c>
      <c r="K55" s="96">
        <v>340</v>
      </c>
      <c r="L55" s="23">
        <f>(K55+10)*1.015*1.01</f>
        <v>358.80249999999995</v>
      </c>
      <c r="M55" s="196" t="s">
        <v>99</v>
      </c>
      <c r="N55" s="102"/>
      <c r="O55" s="23"/>
      <c r="P55" s="102"/>
      <c r="Q55" s="30">
        <f t="shared" si="1"/>
        <v>323.3333333333333</v>
      </c>
      <c r="R55" s="30">
        <f t="shared" si="1"/>
        <v>341.71666666666664</v>
      </c>
      <c r="S55" s="45">
        <v>17</v>
      </c>
    </row>
    <row r="56" spans="1:19" ht="15.75" customHeight="1">
      <c r="A56" s="53">
        <v>22</v>
      </c>
      <c r="B56" s="9"/>
      <c r="C56" s="13" t="s">
        <v>60</v>
      </c>
      <c r="D56" s="13"/>
      <c r="E56" s="9"/>
      <c r="F56" s="10" t="s">
        <v>62</v>
      </c>
      <c r="G56" s="9" t="s">
        <v>21</v>
      </c>
      <c r="H56" s="192">
        <v>295</v>
      </c>
      <c r="I56" s="23">
        <f>(H56+10)*1.015*1.01</f>
        <v>312.67075</v>
      </c>
      <c r="J56" s="23" t="s">
        <v>212</v>
      </c>
      <c r="K56" s="96">
        <v>320</v>
      </c>
      <c r="L56" s="23">
        <f aca="true" t="shared" si="2" ref="L56:L61">(K56+10)*1.015*1.01</f>
        <v>338.29949999999997</v>
      </c>
      <c r="M56" s="196" t="s">
        <v>99</v>
      </c>
      <c r="N56" s="102"/>
      <c r="O56" s="23"/>
      <c r="P56" s="102"/>
      <c r="Q56" s="30">
        <f t="shared" si="1"/>
        <v>303.3333333333333</v>
      </c>
      <c r="R56" s="30">
        <f t="shared" si="1"/>
        <v>321.2136666666666</v>
      </c>
      <c r="S56" s="45">
        <v>17</v>
      </c>
    </row>
    <row r="57" spans="1:19" ht="15.75" customHeight="1">
      <c r="A57" s="53">
        <v>23</v>
      </c>
      <c r="B57" s="9"/>
      <c r="C57" s="13" t="s">
        <v>63</v>
      </c>
      <c r="D57" s="13"/>
      <c r="E57" s="9">
        <v>833</v>
      </c>
      <c r="F57" s="10" t="s">
        <v>61</v>
      </c>
      <c r="G57" s="9" t="s">
        <v>21</v>
      </c>
      <c r="H57" s="192">
        <v>355</v>
      </c>
      <c r="I57" s="23">
        <f>(H57+10)*1.015*1.01</f>
        <v>374.17974999999996</v>
      </c>
      <c r="J57" s="23" t="s">
        <v>212</v>
      </c>
      <c r="K57" s="96">
        <v>380</v>
      </c>
      <c r="L57" s="23">
        <f t="shared" si="2"/>
        <v>399.8085</v>
      </c>
      <c r="M57" s="196" t="s">
        <v>99</v>
      </c>
      <c r="N57" s="102"/>
      <c r="O57" s="23"/>
      <c r="P57" s="102"/>
      <c r="Q57" s="30">
        <f t="shared" si="1"/>
        <v>364.1666666666667</v>
      </c>
      <c r="R57" s="30">
        <f t="shared" si="1"/>
        <v>383.5769583333333</v>
      </c>
      <c r="S57" s="45">
        <v>17</v>
      </c>
    </row>
    <row r="58" spans="1:19" ht="15.75" customHeight="1">
      <c r="A58" s="53">
        <v>24</v>
      </c>
      <c r="B58" s="9"/>
      <c r="C58" s="13" t="s">
        <v>63</v>
      </c>
      <c r="D58" s="13"/>
      <c r="E58" s="9"/>
      <c r="F58" s="10" t="s">
        <v>62</v>
      </c>
      <c r="G58" s="9" t="s">
        <v>21</v>
      </c>
      <c r="H58" s="192">
        <v>335</v>
      </c>
      <c r="I58" s="23">
        <f>(H58+10)*1.015*1.01</f>
        <v>353.67674999999997</v>
      </c>
      <c r="J58" s="23" t="s">
        <v>212</v>
      </c>
      <c r="K58" s="96">
        <v>360</v>
      </c>
      <c r="L58" s="23">
        <f t="shared" si="2"/>
        <v>379.30549999999994</v>
      </c>
      <c r="M58" s="196" t="s">
        <v>99</v>
      </c>
      <c r="N58" s="102"/>
      <c r="O58" s="23"/>
      <c r="P58" s="102"/>
      <c r="Q58" s="30">
        <f t="shared" si="1"/>
        <v>344.1666666666667</v>
      </c>
      <c r="R58" s="30">
        <f t="shared" si="1"/>
        <v>363.07395833333334</v>
      </c>
      <c r="S58" s="45">
        <v>17</v>
      </c>
    </row>
    <row r="59" spans="1:19" s="189" customFormat="1" ht="15.75" customHeight="1" hidden="1">
      <c r="A59" s="9">
        <v>25</v>
      </c>
      <c r="B59" s="6" t="s">
        <v>64</v>
      </c>
      <c r="C59" s="15" t="s">
        <v>65</v>
      </c>
      <c r="D59" s="16"/>
      <c r="E59" s="26"/>
      <c r="F59" s="27" t="s">
        <v>66</v>
      </c>
      <c r="G59" s="26" t="s">
        <v>67</v>
      </c>
      <c r="H59" s="193">
        <v>8.63</v>
      </c>
      <c r="I59" s="38">
        <v>6.37</v>
      </c>
      <c r="J59" s="199" t="s">
        <v>165</v>
      </c>
      <c r="K59" s="161"/>
      <c r="L59" s="23">
        <f t="shared" si="2"/>
        <v>10.251499999999998</v>
      </c>
      <c r="M59" s="199" t="s">
        <v>165</v>
      </c>
      <c r="N59" s="95"/>
      <c r="O59" s="26"/>
      <c r="P59" s="95"/>
      <c r="Q59" s="42"/>
      <c r="R59" s="42" t="e">
        <f>AVERAGE(#REF!,#REF!,#REF!,#REF!,I59,L59)</f>
        <v>#REF!</v>
      </c>
      <c r="S59" s="210"/>
    </row>
    <row r="60" spans="1:19" s="189" customFormat="1" ht="15.75" customHeight="1" hidden="1">
      <c r="A60" s="9">
        <v>26</v>
      </c>
      <c r="B60" s="6"/>
      <c r="C60" s="15" t="s">
        <v>65</v>
      </c>
      <c r="D60" s="16"/>
      <c r="E60" s="26">
        <v>862</v>
      </c>
      <c r="F60" s="27" t="s">
        <v>68</v>
      </c>
      <c r="G60" s="26" t="s">
        <v>67</v>
      </c>
      <c r="H60" s="161"/>
      <c r="I60" s="38">
        <v>6.75</v>
      </c>
      <c r="J60" s="200" t="s">
        <v>165</v>
      </c>
      <c r="K60" s="161"/>
      <c r="L60" s="23">
        <f t="shared" si="2"/>
        <v>10.251499999999998</v>
      </c>
      <c r="M60" s="200" t="s">
        <v>165</v>
      </c>
      <c r="N60" s="95"/>
      <c r="O60" s="26"/>
      <c r="P60" s="95"/>
      <c r="Q60" s="42"/>
      <c r="R60" s="42" t="e">
        <f>AVERAGE(#REF!,#REF!,#REF!,#REF!,I60,L60)</f>
        <v>#REF!</v>
      </c>
      <c r="S60" s="210"/>
    </row>
    <row r="61" spans="1:18" s="189" customFormat="1" ht="15.75" customHeight="1" hidden="1">
      <c r="A61" s="9">
        <v>27</v>
      </c>
      <c r="B61" s="17"/>
      <c r="C61" s="10" t="s">
        <v>69</v>
      </c>
      <c r="D61" s="18"/>
      <c r="E61" s="26">
        <v>863</v>
      </c>
      <c r="F61" s="27" t="s">
        <v>70</v>
      </c>
      <c r="G61" s="26" t="s">
        <v>67</v>
      </c>
      <c r="H61" s="147"/>
      <c r="I61" s="38">
        <v>5.75</v>
      </c>
      <c r="J61" s="200" t="s">
        <v>165</v>
      </c>
      <c r="K61" s="147"/>
      <c r="L61" s="23">
        <f t="shared" si="2"/>
        <v>10.251499999999998</v>
      </c>
      <c r="M61" s="200" t="s">
        <v>165</v>
      </c>
      <c r="N61" s="95"/>
      <c r="O61" s="26"/>
      <c r="P61" s="95"/>
      <c r="Q61" s="42"/>
      <c r="R61" s="42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1.7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2.75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43" t="s">
        <v>229</v>
      </c>
      <c r="I3" s="151"/>
      <c r="J3" s="152"/>
      <c r="K3" s="143" t="s">
        <v>230</v>
      </c>
      <c r="L3" s="153"/>
      <c r="M3" s="162"/>
      <c r="N3" s="143" t="s">
        <v>231</v>
      </c>
      <c r="O3" s="153"/>
      <c r="P3" s="162"/>
      <c r="Q3" s="143" t="s">
        <v>232</v>
      </c>
      <c r="R3" s="153"/>
      <c r="S3" s="162"/>
      <c r="T3" s="143" t="s">
        <v>233</v>
      </c>
      <c r="U3" s="153"/>
      <c r="V3" s="162"/>
    </row>
    <row r="4" spans="1:26" ht="24">
      <c r="A4" s="139"/>
      <c r="B4" s="139"/>
      <c r="C4" s="140"/>
      <c r="D4" s="141"/>
      <c r="E4" s="139"/>
      <c r="F4" s="139"/>
      <c r="G4" s="139"/>
      <c r="H4" s="43" t="s">
        <v>14</v>
      </c>
      <c r="I4" s="43" t="s">
        <v>15</v>
      </c>
      <c r="J4" s="43" t="s">
        <v>106</v>
      </c>
      <c r="K4" s="43" t="s">
        <v>14</v>
      </c>
      <c r="L4" s="43" t="s">
        <v>15</v>
      </c>
      <c r="M4" s="43" t="s">
        <v>106</v>
      </c>
      <c r="N4" s="43" t="s">
        <v>14</v>
      </c>
      <c r="O4" s="43" t="s">
        <v>15</v>
      </c>
      <c r="P4" s="43" t="s">
        <v>106</v>
      </c>
      <c r="Q4" s="43" t="s">
        <v>14</v>
      </c>
      <c r="R4" s="43" t="s">
        <v>15</v>
      </c>
      <c r="S4" s="43" t="s">
        <v>106</v>
      </c>
      <c r="T4" s="43" t="s">
        <v>14</v>
      </c>
      <c r="U4" s="43" t="s">
        <v>15</v>
      </c>
      <c r="V4" s="43" t="s">
        <v>106</v>
      </c>
      <c r="X4" s="43" t="s">
        <v>14</v>
      </c>
      <c r="Y4" s="43" t="s">
        <v>15</v>
      </c>
      <c r="Z4" s="43" t="s">
        <v>106</v>
      </c>
    </row>
    <row r="5" spans="1:26" s="2" customFormat="1" ht="24.75" customHeight="1">
      <c r="A5" s="14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44" t="s">
        <v>21</v>
      </c>
      <c r="H5" s="144" t="e">
        <f>H6*0.8+H7*0.2</f>
        <v>#REF!</v>
      </c>
      <c r="I5" s="82" t="e">
        <f>I6*0.8+I7*0.2</f>
        <v>#REF!</v>
      </c>
      <c r="J5" s="154"/>
      <c r="K5" s="155"/>
      <c r="L5" s="82"/>
      <c r="M5" s="149"/>
      <c r="N5" s="144"/>
      <c r="O5" s="163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39">
        <v>2</v>
      </c>
      <c r="B6" s="9"/>
      <c r="C6" s="9"/>
      <c r="D6" s="10" t="s">
        <v>22</v>
      </c>
      <c r="E6" s="9"/>
      <c r="F6" s="10" t="s">
        <v>23</v>
      </c>
      <c r="G6" s="45" t="s">
        <v>21</v>
      </c>
      <c r="H6" s="145" t="e">
        <f>#REF!+28</f>
        <v>#REF!</v>
      </c>
      <c r="I6" s="112" t="e">
        <f>(H6+27)*1.015</f>
        <v>#REF!</v>
      </c>
      <c r="J6" s="32" t="s">
        <v>89</v>
      </c>
      <c r="K6" s="156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39">
        <v>3</v>
      </c>
      <c r="B7" s="9"/>
      <c r="C7" s="9"/>
      <c r="D7" s="10" t="s">
        <v>24</v>
      </c>
      <c r="E7" s="9"/>
      <c r="F7" s="10" t="s">
        <v>25</v>
      </c>
      <c r="G7" s="45" t="s">
        <v>21</v>
      </c>
      <c r="H7" s="145" t="e">
        <f>#REF!+28</f>
        <v>#REF!</v>
      </c>
      <c r="I7" s="112" t="e">
        <f>(H7+27)*1.015</f>
        <v>#REF!</v>
      </c>
      <c r="J7" s="32" t="s">
        <v>89</v>
      </c>
      <c r="K7" s="156"/>
      <c r="L7" s="112"/>
      <c r="M7" s="150"/>
      <c r="N7" s="164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44" t="s">
        <v>21</v>
      </c>
      <c r="H8" s="144" t="e">
        <f>H9*0.03+H10*0.38+H11*0.27+H12*0.32</f>
        <v>#REF!</v>
      </c>
      <c r="I8" s="82" t="e">
        <f>I9*0.03+I10*0.38+I11*0.27+I12*0.32</f>
        <v>#REF!</v>
      </c>
      <c r="J8" s="33"/>
      <c r="K8" s="155"/>
      <c r="L8" s="82"/>
      <c r="M8" s="149"/>
      <c r="N8" s="144"/>
      <c r="O8" s="163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39">
        <v>5</v>
      </c>
      <c r="B9" s="9"/>
      <c r="C9" s="9"/>
      <c r="D9" s="10" t="s">
        <v>29</v>
      </c>
      <c r="E9" s="9"/>
      <c r="F9" s="10" t="s">
        <v>30</v>
      </c>
      <c r="G9" s="45" t="s">
        <v>21</v>
      </c>
      <c r="H9" s="145" t="e">
        <f>#REF!+28</f>
        <v>#REF!</v>
      </c>
      <c r="I9" s="112" t="e">
        <f>(H9+27)*1.015</f>
        <v>#REF!</v>
      </c>
      <c r="J9" s="32" t="s">
        <v>90</v>
      </c>
      <c r="K9" s="156"/>
      <c r="L9" s="112"/>
      <c r="M9" s="150"/>
      <c r="N9" s="164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39">
        <v>6</v>
      </c>
      <c r="B10" s="9"/>
      <c r="C10" s="9"/>
      <c r="D10" s="10" t="s">
        <v>29</v>
      </c>
      <c r="E10" s="9"/>
      <c r="F10" s="10" t="s">
        <v>31</v>
      </c>
      <c r="G10" s="45" t="s">
        <v>21</v>
      </c>
      <c r="H10" s="145" t="e">
        <f>#REF!+28</f>
        <v>#REF!</v>
      </c>
      <c r="I10" s="112" t="e">
        <f>(H10+27)*1.015</f>
        <v>#REF!</v>
      </c>
      <c r="J10" s="32" t="s">
        <v>90</v>
      </c>
      <c r="K10" s="156"/>
      <c r="L10" s="112"/>
      <c r="M10" s="150"/>
      <c r="N10" s="164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39">
        <v>7</v>
      </c>
      <c r="B11" s="9"/>
      <c r="C11" s="9"/>
      <c r="D11" s="10" t="s">
        <v>29</v>
      </c>
      <c r="E11" s="9"/>
      <c r="F11" s="10" t="s">
        <v>32</v>
      </c>
      <c r="G11" s="45" t="s">
        <v>21</v>
      </c>
      <c r="H11" s="145" t="e">
        <f>#REF!+28</f>
        <v>#REF!</v>
      </c>
      <c r="I11" s="112" t="e">
        <f>(H11+27)*1.015</f>
        <v>#REF!</v>
      </c>
      <c r="J11" s="32" t="s">
        <v>90</v>
      </c>
      <c r="K11" s="156"/>
      <c r="L11" s="112"/>
      <c r="M11" s="150"/>
      <c r="N11" s="164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39">
        <v>8</v>
      </c>
      <c r="B12" s="9"/>
      <c r="C12" s="9"/>
      <c r="D12" s="10" t="s">
        <v>29</v>
      </c>
      <c r="E12" s="9"/>
      <c r="F12" s="10" t="s">
        <v>33</v>
      </c>
      <c r="G12" s="45" t="s">
        <v>21</v>
      </c>
      <c r="H12" s="145" t="e">
        <f>#REF!+28</f>
        <v>#REF!</v>
      </c>
      <c r="I12" s="112" t="e">
        <f>(H12+27)*1.015</f>
        <v>#REF!</v>
      </c>
      <c r="J12" s="32" t="s">
        <v>90</v>
      </c>
      <c r="K12" s="156"/>
      <c r="L12" s="112"/>
      <c r="M12" s="150"/>
      <c r="N12" s="164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44" t="s">
        <v>21</v>
      </c>
      <c r="H13" s="146" t="e">
        <f>H14*0.27+H15*0.67+H16*0.06</f>
        <v>#REF!</v>
      </c>
      <c r="I13" s="83" t="e">
        <f>I14*0.27+I15*0.67+I16*0.06</f>
        <v>#REF!</v>
      </c>
      <c r="J13" s="33"/>
      <c r="K13" s="83"/>
      <c r="L13" s="83"/>
      <c r="M13" s="83"/>
      <c r="N13" s="146"/>
      <c r="O13" s="146"/>
      <c r="P13" s="83"/>
      <c r="Q13" s="83"/>
      <c r="R13" s="83"/>
      <c r="S13" s="83"/>
      <c r="T13" s="83"/>
      <c r="U13" s="83"/>
      <c r="V13" s="83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39">
        <v>10</v>
      </c>
      <c r="B14" s="9"/>
      <c r="C14" s="9"/>
      <c r="D14" s="10" t="s">
        <v>37</v>
      </c>
      <c r="E14" s="9"/>
      <c r="F14" s="13" t="s">
        <v>38</v>
      </c>
      <c r="G14" s="45" t="s">
        <v>21</v>
      </c>
      <c r="H14" s="145" t="e">
        <f>#REF!+20</f>
        <v>#REF!</v>
      </c>
      <c r="I14" s="112" t="e">
        <f>(H14+27)*1.015</f>
        <v>#REF!</v>
      </c>
      <c r="J14" s="32" t="s">
        <v>91</v>
      </c>
      <c r="K14" s="156"/>
      <c r="L14" s="112"/>
      <c r="M14" s="150"/>
      <c r="N14" s="164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39">
        <v>11</v>
      </c>
      <c r="B15" s="9"/>
      <c r="C15" s="9"/>
      <c r="D15" s="10" t="s">
        <v>39</v>
      </c>
      <c r="E15" s="9"/>
      <c r="F15" s="13" t="s">
        <v>40</v>
      </c>
      <c r="G15" s="45" t="s">
        <v>21</v>
      </c>
      <c r="H15" s="145" t="e">
        <f>#REF!+20</f>
        <v>#REF!</v>
      </c>
      <c r="I15" s="112" t="e">
        <f>(H15+27)*1.015</f>
        <v>#REF!</v>
      </c>
      <c r="J15" s="32" t="s">
        <v>92</v>
      </c>
      <c r="K15" s="156"/>
      <c r="L15" s="112"/>
      <c r="M15" s="150"/>
      <c r="N15" s="165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39">
        <v>12</v>
      </c>
      <c r="B16" s="9"/>
      <c r="C16" s="9"/>
      <c r="D16" s="10" t="s">
        <v>41</v>
      </c>
      <c r="E16" s="9"/>
      <c r="F16" s="13" t="s">
        <v>42</v>
      </c>
      <c r="G16" s="45" t="s">
        <v>21</v>
      </c>
      <c r="H16" s="145" t="e">
        <f>#REF!+20</f>
        <v>#REF!</v>
      </c>
      <c r="I16" s="112" t="e">
        <f>(H16+27)*1.015</f>
        <v>#REF!</v>
      </c>
      <c r="J16" s="32" t="s">
        <v>91</v>
      </c>
      <c r="K16" s="156"/>
      <c r="L16" s="112"/>
      <c r="M16" s="150"/>
      <c r="N16" s="164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39">
        <v>13</v>
      </c>
      <c r="B17" s="9"/>
      <c r="C17" s="6" t="s">
        <v>43</v>
      </c>
      <c r="D17" s="9"/>
      <c r="E17" s="9">
        <v>183</v>
      </c>
      <c r="F17" s="13" t="s">
        <v>44</v>
      </c>
      <c r="G17" s="45" t="s">
        <v>21</v>
      </c>
      <c r="H17" s="145" t="e">
        <f>#REF!+20</f>
        <v>#REF!</v>
      </c>
      <c r="I17" s="112" t="e">
        <f>(H17+27)*1.015</f>
        <v>#REF!</v>
      </c>
      <c r="J17" s="32" t="s">
        <v>91</v>
      </c>
      <c r="K17" s="156"/>
      <c r="L17" s="112"/>
      <c r="M17" s="150"/>
      <c r="N17" s="164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44" t="s">
        <v>21</v>
      </c>
      <c r="H18" s="83" t="e">
        <f>H19*0.6+H20*0.2+H21*0.2</f>
        <v>#REF!</v>
      </c>
      <c r="I18" s="83" t="e">
        <f>I19*0.6+I20*0.2+I21*0.2</f>
        <v>#REF!</v>
      </c>
      <c r="J18" s="157"/>
      <c r="K18" s="83"/>
      <c r="L18" s="83"/>
      <c r="M18" s="149"/>
      <c r="N18" s="166"/>
      <c r="O18" s="163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3"/>
    </row>
    <row r="19" spans="1:26" ht="17.25" customHeight="1">
      <c r="A19" s="139">
        <v>15</v>
      </c>
      <c r="B19" s="9"/>
      <c r="C19" s="9"/>
      <c r="D19" s="10" t="s">
        <v>48</v>
      </c>
      <c r="E19" s="25"/>
      <c r="F19" s="10" t="s">
        <v>49</v>
      </c>
      <c r="G19" s="45" t="s">
        <v>21</v>
      </c>
      <c r="H19" s="145" t="e">
        <f>#REF!+20</f>
        <v>#REF!</v>
      </c>
      <c r="I19" s="145" t="e">
        <f>(H19+27)*1.015</f>
        <v>#REF!</v>
      </c>
      <c r="J19" s="31" t="s">
        <v>93</v>
      </c>
      <c r="K19" s="156"/>
      <c r="L19" s="112"/>
      <c r="M19" s="150"/>
      <c r="N19" s="164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39">
        <v>16</v>
      </c>
      <c r="B20" s="9"/>
      <c r="C20" s="9"/>
      <c r="D20" s="10" t="s">
        <v>50</v>
      </c>
      <c r="E20" s="25">
        <v>192</v>
      </c>
      <c r="F20" s="10" t="s">
        <v>51</v>
      </c>
      <c r="G20" s="45" t="s">
        <v>21</v>
      </c>
      <c r="H20" s="145" t="e">
        <f>#REF!+20</f>
        <v>#REF!</v>
      </c>
      <c r="I20" s="145" t="e">
        <f>(H20+27)*1.015</f>
        <v>#REF!</v>
      </c>
      <c r="J20" s="31" t="s">
        <v>93</v>
      </c>
      <c r="K20" s="156"/>
      <c r="L20" s="150"/>
      <c r="M20" s="150"/>
      <c r="N20" s="167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39">
        <v>17</v>
      </c>
      <c r="B21" s="9"/>
      <c r="C21" s="9"/>
      <c r="D21" s="10" t="s">
        <v>52</v>
      </c>
      <c r="E21" s="25">
        <v>191</v>
      </c>
      <c r="F21" s="10" t="s">
        <v>53</v>
      </c>
      <c r="G21" s="45" t="s">
        <v>21</v>
      </c>
      <c r="H21" s="145" t="e">
        <f>#REF!+20</f>
        <v>#REF!</v>
      </c>
      <c r="I21" s="145" t="e">
        <f>(H21+27)*1.015</f>
        <v>#REF!</v>
      </c>
      <c r="J21" s="32" t="s">
        <v>94</v>
      </c>
      <c r="K21" s="156"/>
      <c r="L21" s="112"/>
      <c r="M21" s="150"/>
      <c r="N21" s="164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39">
        <v>18</v>
      </c>
      <c r="B22" s="9"/>
      <c r="C22" s="10" t="s">
        <v>54</v>
      </c>
      <c r="D22" s="13"/>
      <c r="E22" s="9">
        <v>121</v>
      </c>
      <c r="F22" s="13"/>
      <c r="G22" s="45" t="s">
        <v>21</v>
      </c>
      <c r="H22" s="145" t="e">
        <f>#REF!+20</f>
        <v>#REF!</v>
      </c>
      <c r="I22" s="145" t="e">
        <f>(H22+27)*1.015</f>
        <v>#REF!</v>
      </c>
      <c r="J22" s="158"/>
      <c r="K22" s="156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39">
        <v>19</v>
      </c>
      <c r="B23" s="9"/>
      <c r="C23" s="10" t="s">
        <v>55</v>
      </c>
      <c r="D23" s="13"/>
      <c r="E23" s="9">
        <v>125</v>
      </c>
      <c r="F23" s="10" t="s">
        <v>56</v>
      </c>
      <c r="G23" s="45" t="s">
        <v>21</v>
      </c>
      <c r="H23" s="145" t="e">
        <f>#REF!+20</f>
        <v>#REF!</v>
      </c>
      <c r="I23" s="145" t="e">
        <f>(H23+27)*1.015</f>
        <v>#REF!</v>
      </c>
      <c r="J23" s="158"/>
      <c r="K23" s="156"/>
      <c r="L23" s="112"/>
      <c r="M23" s="150"/>
      <c r="N23" s="156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2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44" t="s">
        <v>21</v>
      </c>
      <c r="H24" s="83">
        <f>H26*0.75+H28*0.25</f>
        <v>372.5</v>
      </c>
      <c r="I24" s="83">
        <f>I26*0.75+I28*0.25</f>
        <v>392.1198749999999</v>
      </c>
      <c r="J24" s="83" t="s">
        <v>109</v>
      </c>
      <c r="K24" s="83">
        <f aca="true" t="shared" si="0" ref="K24:U24">K26*0.75+K28*0.25</f>
        <v>333.75</v>
      </c>
      <c r="L24" s="83">
        <f t="shared" si="0"/>
        <v>352.3953125</v>
      </c>
      <c r="M24" s="83" t="s">
        <v>109</v>
      </c>
      <c r="N24" s="83">
        <f t="shared" si="0"/>
        <v>340</v>
      </c>
      <c r="O24" s="83">
        <f t="shared" si="0"/>
        <v>358.8025</v>
      </c>
      <c r="P24" s="83" t="s">
        <v>109</v>
      </c>
      <c r="Q24" s="83">
        <f t="shared" si="0"/>
        <v>340</v>
      </c>
      <c r="R24" s="83">
        <f t="shared" si="0"/>
        <v>358.8025</v>
      </c>
      <c r="S24" s="83" t="s">
        <v>109</v>
      </c>
      <c r="T24" s="83">
        <f t="shared" si="0"/>
        <v>350</v>
      </c>
      <c r="U24" s="83">
        <f t="shared" si="0"/>
        <v>369.054</v>
      </c>
      <c r="V24" s="112" t="s">
        <v>109</v>
      </c>
    </row>
    <row r="25" spans="1:22" ht="17.25" customHeight="1">
      <c r="A25" s="139">
        <v>21</v>
      </c>
      <c r="B25" s="9"/>
      <c r="C25" s="13" t="s">
        <v>60</v>
      </c>
      <c r="D25" s="13"/>
      <c r="E25" s="9">
        <v>832</v>
      </c>
      <c r="F25" s="10" t="s">
        <v>61</v>
      </c>
      <c r="G25" s="45" t="s">
        <v>21</v>
      </c>
      <c r="H25" s="112">
        <v>375</v>
      </c>
      <c r="I25" s="23">
        <f>(H25+10)*(1+1.5%)*(1+1%)</f>
        <v>394.68275</v>
      </c>
      <c r="J25" s="159" t="s">
        <v>235</v>
      </c>
      <c r="K25" s="23">
        <v>340</v>
      </c>
      <c r="L25" s="23">
        <f>(K25+10)*1.015*1.01</f>
        <v>358.80249999999995</v>
      </c>
      <c r="M25" s="102" t="s">
        <v>236</v>
      </c>
      <c r="N25" s="23">
        <v>345</v>
      </c>
      <c r="O25" s="23">
        <f>(N25+10)*1.015*1.01</f>
        <v>363.92825</v>
      </c>
      <c r="P25" s="6" t="s">
        <v>237</v>
      </c>
      <c r="Q25" s="23">
        <v>345</v>
      </c>
      <c r="R25" s="23">
        <f>(Q25+10)*1.015*1.01</f>
        <v>363.92825</v>
      </c>
      <c r="S25" s="6" t="s">
        <v>237</v>
      </c>
      <c r="T25" s="23">
        <v>345</v>
      </c>
      <c r="U25" s="23">
        <f>(T25+10)*1.015*1.01</f>
        <v>363.92825</v>
      </c>
      <c r="V25" s="6" t="s">
        <v>236</v>
      </c>
    </row>
    <row r="26" spans="1:22" ht="17.25" customHeight="1">
      <c r="A26" s="139">
        <v>22</v>
      </c>
      <c r="B26" s="9"/>
      <c r="C26" s="13" t="s">
        <v>60</v>
      </c>
      <c r="D26" s="13"/>
      <c r="E26" s="9"/>
      <c r="F26" s="10" t="s">
        <v>62</v>
      </c>
      <c r="G26" s="45" t="s">
        <v>21</v>
      </c>
      <c r="H26" s="112">
        <v>360</v>
      </c>
      <c r="I26" s="23">
        <f>(H26+10)*1.015*1.01</f>
        <v>379.30549999999994</v>
      </c>
      <c r="J26" s="159" t="s">
        <v>235</v>
      </c>
      <c r="K26" s="23">
        <v>325</v>
      </c>
      <c r="L26" s="23">
        <f>(K26+10)*1.015*1.01</f>
        <v>343.42525</v>
      </c>
      <c r="M26" s="102" t="s">
        <v>236</v>
      </c>
      <c r="N26" s="23">
        <v>330</v>
      </c>
      <c r="O26" s="23">
        <f>(N26+10)*1.015*1.01</f>
        <v>348.551</v>
      </c>
      <c r="P26" s="6" t="s">
        <v>237</v>
      </c>
      <c r="Q26" s="23">
        <v>330</v>
      </c>
      <c r="R26" s="23">
        <f>(Q26+10)*1.015*1.01</f>
        <v>348.551</v>
      </c>
      <c r="S26" s="6" t="s">
        <v>237</v>
      </c>
      <c r="T26" s="23">
        <v>330</v>
      </c>
      <c r="U26" s="23">
        <f>(T26+10)*1.015*1.01</f>
        <v>348.551</v>
      </c>
      <c r="V26" s="6" t="s">
        <v>236</v>
      </c>
    </row>
    <row r="27" spans="1:22" ht="14.25" customHeight="1">
      <c r="A27" s="139">
        <v>23</v>
      </c>
      <c r="B27" s="9"/>
      <c r="C27" s="13" t="s">
        <v>63</v>
      </c>
      <c r="D27" s="13"/>
      <c r="E27" s="9">
        <v>833</v>
      </c>
      <c r="F27" s="10" t="s">
        <v>61</v>
      </c>
      <c r="G27" s="45" t="s">
        <v>21</v>
      </c>
      <c r="H27" s="112">
        <v>425</v>
      </c>
      <c r="I27" s="23">
        <f>(H27+10)*1.015*1.01</f>
        <v>445.94025</v>
      </c>
      <c r="J27" s="159" t="s">
        <v>235</v>
      </c>
      <c r="K27" s="23">
        <v>380</v>
      </c>
      <c r="L27" s="23">
        <f>(K27+10)*1.015*1.01</f>
        <v>399.8085</v>
      </c>
      <c r="M27" s="102" t="s">
        <v>236</v>
      </c>
      <c r="N27" s="23">
        <v>385</v>
      </c>
      <c r="O27" s="23">
        <f>(N27+10)*1.015*1.01</f>
        <v>404.93424999999996</v>
      </c>
      <c r="P27" s="6" t="s">
        <v>237</v>
      </c>
      <c r="Q27" s="23">
        <v>385</v>
      </c>
      <c r="R27" s="23">
        <f>(Q27+10)*1.015*1.01</f>
        <v>404.93424999999996</v>
      </c>
      <c r="S27" s="6" t="s">
        <v>237</v>
      </c>
      <c r="T27" s="23">
        <v>425</v>
      </c>
      <c r="U27" s="23">
        <f>(T27+10)*1.015*1.01</f>
        <v>445.94025</v>
      </c>
      <c r="V27" s="159" t="s">
        <v>235</v>
      </c>
    </row>
    <row r="28" spans="1:22" ht="14.25" customHeight="1">
      <c r="A28" s="139">
        <v>24</v>
      </c>
      <c r="B28" s="9"/>
      <c r="C28" s="13" t="s">
        <v>63</v>
      </c>
      <c r="D28" s="13"/>
      <c r="E28" s="9"/>
      <c r="F28" s="10" t="s">
        <v>62</v>
      </c>
      <c r="G28" s="45" t="s">
        <v>21</v>
      </c>
      <c r="H28" s="112">
        <v>410</v>
      </c>
      <c r="I28" s="23">
        <f>(H28+10)*1.015*1.01</f>
        <v>430.56299999999993</v>
      </c>
      <c r="J28" s="159" t="s">
        <v>235</v>
      </c>
      <c r="K28" s="23">
        <v>360</v>
      </c>
      <c r="L28" s="23">
        <f>(K28+10)*1.015*1.01</f>
        <v>379.30549999999994</v>
      </c>
      <c r="M28" s="102" t="s">
        <v>236</v>
      </c>
      <c r="N28" s="23">
        <v>370</v>
      </c>
      <c r="O28" s="23">
        <f>(N28+10)*1.015*1.01</f>
        <v>389.557</v>
      </c>
      <c r="P28" s="6" t="s">
        <v>237</v>
      </c>
      <c r="Q28" s="23">
        <v>370</v>
      </c>
      <c r="R28" s="23">
        <f>(Q28+10)*1.015*1.01</f>
        <v>389.557</v>
      </c>
      <c r="S28" s="6" t="s">
        <v>237</v>
      </c>
      <c r="T28" s="23">
        <v>410</v>
      </c>
      <c r="U28" s="23">
        <f>(T28+10)*1.015*1.01</f>
        <v>430.56299999999993</v>
      </c>
      <c r="V28" s="159" t="s">
        <v>235</v>
      </c>
    </row>
    <row r="29" spans="1:22" ht="14.25" customHeight="1" hidden="1">
      <c r="A29" s="45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147"/>
      <c r="I29" s="26">
        <v>6.43</v>
      </c>
      <c r="J29" s="160" t="s">
        <v>165</v>
      </c>
      <c r="K29" s="161"/>
      <c r="L29" s="26">
        <v>6.43</v>
      </c>
      <c r="M29" s="168" t="s">
        <v>165</v>
      </c>
      <c r="N29" s="161"/>
      <c r="O29" s="26">
        <v>6.43</v>
      </c>
      <c r="P29" s="168" t="s">
        <v>165</v>
      </c>
      <c r="Q29" s="161"/>
      <c r="R29" s="26">
        <v>6.43</v>
      </c>
      <c r="S29" s="168" t="s">
        <v>165</v>
      </c>
      <c r="T29" s="161"/>
      <c r="U29" s="26">
        <v>6.43</v>
      </c>
      <c r="V29" s="168" t="s">
        <v>165</v>
      </c>
    </row>
    <row r="30" spans="1:22" ht="14.25" customHeight="1" hidden="1">
      <c r="A30" s="45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147"/>
      <c r="I30" s="26">
        <v>6.83</v>
      </c>
      <c r="J30" s="160" t="s">
        <v>165</v>
      </c>
      <c r="K30" s="161"/>
      <c r="L30" s="26">
        <v>6.83</v>
      </c>
      <c r="M30" s="160" t="s">
        <v>165</v>
      </c>
      <c r="N30" s="161"/>
      <c r="O30" s="26">
        <v>6.83</v>
      </c>
      <c r="P30" s="160" t="s">
        <v>165</v>
      </c>
      <c r="Q30" s="161"/>
      <c r="R30" s="26">
        <v>6.83</v>
      </c>
      <c r="S30" s="160" t="s">
        <v>165</v>
      </c>
      <c r="T30" s="161"/>
      <c r="U30" s="26">
        <v>6.83</v>
      </c>
      <c r="V30" s="160" t="s">
        <v>165</v>
      </c>
    </row>
    <row r="31" spans="1:22" ht="14.25" hidden="1">
      <c r="A31" s="45">
        <v>27</v>
      </c>
      <c r="B31" s="17"/>
      <c r="C31" s="10" t="s">
        <v>69</v>
      </c>
      <c r="D31" s="18"/>
      <c r="E31" s="26">
        <v>863</v>
      </c>
      <c r="F31" s="27" t="s">
        <v>70</v>
      </c>
      <c r="G31" s="148" t="s">
        <v>67</v>
      </c>
      <c r="H31" s="147"/>
      <c r="I31" s="26">
        <v>5.89</v>
      </c>
      <c r="J31" s="160" t="s">
        <v>165</v>
      </c>
      <c r="K31" s="147"/>
      <c r="L31" s="26">
        <v>5.89</v>
      </c>
      <c r="M31" s="160" t="s">
        <v>165</v>
      </c>
      <c r="N31" s="147"/>
      <c r="O31" s="26">
        <v>5.89</v>
      </c>
      <c r="P31" s="160" t="s">
        <v>165</v>
      </c>
      <c r="Q31" s="147"/>
      <c r="R31" s="26">
        <v>5.89</v>
      </c>
      <c r="S31" s="160" t="s">
        <v>165</v>
      </c>
      <c r="T31" s="147"/>
      <c r="U31" s="26">
        <v>5.89</v>
      </c>
      <c r="V31" s="160" t="s">
        <v>165</v>
      </c>
    </row>
    <row r="32" spans="1:23" s="106" customFormat="1" ht="21.7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2.75">
      <c r="A33" s="104"/>
      <c r="C33" s="104"/>
      <c r="D33" s="78"/>
      <c r="E33" s="104"/>
      <c r="F33" s="7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43" t="s">
        <v>239</v>
      </c>
      <c r="I34" s="151"/>
      <c r="J34" s="152"/>
      <c r="K34" s="143" t="s">
        <v>240</v>
      </c>
      <c r="L34" s="153"/>
      <c r="M34" s="162"/>
      <c r="N34" s="143" t="s">
        <v>241</v>
      </c>
      <c r="O34" s="153"/>
      <c r="P34" s="162"/>
      <c r="Q34" s="136" t="s">
        <v>77</v>
      </c>
      <c r="R34" s="136" t="s">
        <v>78</v>
      </c>
    </row>
    <row r="35" spans="1:18" ht="24">
      <c r="A35" s="139"/>
      <c r="B35" s="139"/>
      <c r="C35" s="140"/>
      <c r="D35" s="141"/>
      <c r="E35" s="139"/>
      <c r="F35" s="139"/>
      <c r="G35" s="139"/>
      <c r="H35" s="43" t="s">
        <v>14</v>
      </c>
      <c r="I35" s="43" t="s">
        <v>15</v>
      </c>
      <c r="J35" s="43" t="s">
        <v>106</v>
      </c>
      <c r="K35" s="43" t="s">
        <v>14</v>
      </c>
      <c r="L35" s="43" t="s">
        <v>15</v>
      </c>
      <c r="M35" s="43" t="s">
        <v>106</v>
      </c>
      <c r="N35" s="43" t="s">
        <v>14</v>
      </c>
      <c r="O35" s="43" t="s">
        <v>15</v>
      </c>
      <c r="P35" s="43" t="s">
        <v>106</v>
      </c>
      <c r="Q35" s="139"/>
      <c r="R35" s="139"/>
    </row>
    <row r="36" spans="1:18" s="2" customFormat="1" ht="24.75" customHeight="1">
      <c r="A36" s="142">
        <v>1</v>
      </c>
      <c r="B36" s="6" t="s">
        <v>16</v>
      </c>
      <c r="C36" s="6" t="s">
        <v>17</v>
      </c>
      <c r="D36" s="8" t="s">
        <v>18</v>
      </c>
      <c r="E36" s="9" t="s">
        <v>19</v>
      </c>
      <c r="F36" s="21" t="s">
        <v>20</v>
      </c>
      <c r="G36" s="44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2" t="e">
        <f aca="true" t="shared" si="1" ref="Q36:Q62">AVERAGE(H5,K5,N5,Q5,T5,H36,K36,N36)</f>
        <v>#REF!</v>
      </c>
      <c r="R36" s="82" t="e">
        <f aca="true" t="shared" si="2" ref="R36:R62">AVERAGE(I5,L5,O5,R5,U5,I36,L36,O36)</f>
        <v>#REF!</v>
      </c>
    </row>
    <row r="37" spans="1:18" ht="25.5">
      <c r="A37" s="139">
        <v>2</v>
      </c>
      <c r="B37" s="9"/>
      <c r="C37" s="9"/>
      <c r="D37" s="10" t="s">
        <v>22</v>
      </c>
      <c r="E37" s="9"/>
      <c r="F37" s="10" t="s">
        <v>23</v>
      </c>
      <c r="G37" s="45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0" t="e">
        <f t="shared" si="1"/>
        <v>#REF!</v>
      </c>
      <c r="R37" s="170" t="e">
        <f t="shared" si="2"/>
        <v>#REF!</v>
      </c>
    </row>
    <row r="38" spans="1:18" ht="14.25">
      <c r="A38" s="139">
        <v>3</v>
      </c>
      <c r="B38" s="9"/>
      <c r="C38" s="9"/>
      <c r="D38" s="10" t="s">
        <v>24</v>
      </c>
      <c r="E38" s="9"/>
      <c r="F38" s="10" t="s">
        <v>25</v>
      </c>
      <c r="G38" s="45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0" t="e">
        <f t="shared" si="1"/>
        <v>#REF!</v>
      </c>
      <c r="R38" s="170" t="e">
        <f t="shared" si="2"/>
        <v>#REF!</v>
      </c>
    </row>
    <row r="39" spans="1:18" s="2" customFormat="1" ht="38.25">
      <c r="A39" s="142">
        <v>4</v>
      </c>
      <c r="B39" s="9"/>
      <c r="C39" s="6" t="s">
        <v>26</v>
      </c>
      <c r="D39" s="11" t="s">
        <v>27</v>
      </c>
      <c r="E39" s="9">
        <v>112</v>
      </c>
      <c r="F39" s="21" t="s">
        <v>28</v>
      </c>
      <c r="G39" s="44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2" t="e">
        <f t="shared" si="1"/>
        <v>#REF!</v>
      </c>
      <c r="R39" s="82" t="e">
        <f t="shared" si="2"/>
        <v>#REF!</v>
      </c>
    </row>
    <row r="40" spans="1:18" ht="14.25">
      <c r="A40" s="139">
        <v>5</v>
      </c>
      <c r="B40" s="9"/>
      <c r="C40" s="9"/>
      <c r="D40" s="10" t="s">
        <v>29</v>
      </c>
      <c r="E40" s="9"/>
      <c r="F40" s="10" t="s">
        <v>30</v>
      </c>
      <c r="G40" s="45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0" t="e">
        <f t="shared" si="1"/>
        <v>#REF!</v>
      </c>
      <c r="R40" s="170" t="e">
        <f t="shared" si="2"/>
        <v>#REF!</v>
      </c>
    </row>
    <row r="41" spans="1:18" ht="14.25">
      <c r="A41" s="139">
        <v>6</v>
      </c>
      <c r="B41" s="9"/>
      <c r="C41" s="9"/>
      <c r="D41" s="10" t="s">
        <v>29</v>
      </c>
      <c r="E41" s="9"/>
      <c r="F41" s="10" t="s">
        <v>31</v>
      </c>
      <c r="G41" s="45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0" t="e">
        <f t="shared" si="1"/>
        <v>#REF!</v>
      </c>
      <c r="R41" s="170" t="e">
        <f t="shared" si="2"/>
        <v>#REF!</v>
      </c>
    </row>
    <row r="42" spans="1:18" ht="14.25">
      <c r="A42" s="139">
        <v>7</v>
      </c>
      <c r="B42" s="9"/>
      <c r="C42" s="9"/>
      <c r="D42" s="10" t="s">
        <v>29</v>
      </c>
      <c r="E42" s="9"/>
      <c r="F42" s="10" t="s">
        <v>32</v>
      </c>
      <c r="G42" s="45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0" t="e">
        <f t="shared" si="1"/>
        <v>#REF!</v>
      </c>
      <c r="R42" s="170" t="e">
        <f t="shared" si="2"/>
        <v>#REF!</v>
      </c>
    </row>
    <row r="43" spans="1:18" ht="14.25">
      <c r="A43" s="139">
        <v>8</v>
      </c>
      <c r="B43" s="9"/>
      <c r="C43" s="9"/>
      <c r="D43" s="10" t="s">
        <v>29</v>
      </c>
      <c r="E43" s="9"/>
      <c r="F43" s="10" t="s">
        <v>33</v>
      </c>
      <c r="G43" s="45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0" t="e">
        <f t="shared" si="1"/>
        <v>#REF!</v>
      </c>
      <c r="R43" s="170" t="e">
        <f t="shared" si="2"/>
        <v>#REF!</v>
      </c>
    </row>
    <row r="44" spans="1:18" s="2" customFormat="1" ht="25.5">
      <c r="A44" s="142">
        <v>9</v>
      </c>
      <c r="B44" s="9"/>
      <c r="C44" s="6" t="s">
        <v>34</v>
      </c>
      <c r="D44" s="11" t="s">
        <v>35</v>
      </c>
      <c r="E44" s="9">
        <v>182</v>
      </c>
      <c r="F44" s="21" t="s">
        <v>36</v>
      </c>
      <c r="G44" s="44" t="s">
        <v>21</v>
      </c>
      <c r="H44" s="83"/>
      <c r="I44" s="83"/>
      <c r="J44" s="83"/>
      <c r="K44" s="83"/>
      <c r="L44" s="83"/>
      <c r="M44" s="83"/>
      <c r="N44" s="83"/>
      <c r="O44" s="83"/>
      <c r="P44" s="83"/>
      <c r="Q44" s="82" t="e">
        <f t="shared" si="1"/>
        <v>#REF!</v>
      </c>
      <c r="R44" s="82" t="e">
        <f t="shared" si="2"/>
        <v>#REF!</v>
      </c>
    </row>
    <row r="45" spans="1:18" ht="14.25">
      <c r="A45" s="139">
        <v>10</v>
      </c>
      <c r="B45" s="9"/>
      <c r="C45" s="9"/>
      <c r="D45" s="10" t="s">
        <v>37</v>
      </c>
      <c r="E45" s="9"/>
      <c r="F45" s="13" t="s">
        <v>38</v>
      </c>
      <c r="G45" s="45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0" t="e">
        <f t="shared" si="1"/>
        <v>#REF!</v>
      </c>
      <c r="R45" s="170" t="e">
        <f t="shared" si="2"/>
        <v>#REF!</v>
      </c>
    </row>
    <row r="46" spans="1:18" ht="14.25">
      <c r="A46" s="139">
        <v>11</v>
      </c>
      <c r="B46" s="9"/>
      <c r="C46" s="9"/>
      <c r="D46" s="10" t="s">
        <v>39</v>
      </c>
      <c r="E46" s="9"/>
      <c r="F46" s="13" t="s">
        <v>40</v>
      </c>
      <c r="G46" s="45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0" t="e">
        <f t="shared" si="1"/>
        <v>#REF!</v>
      </c>
      <c r="R46" s="170" t="e">
        <f t="shared" si="2"/>
        <v>#REF!</v>
      </c>
    </row>
    <row r="47" spans="1:18" ht="14.25">
      <c r="A47" s="139">
        <v>12</v>
      </c>
      <c r="B47" s="9"/>
      <c r="C47" s="9"/>
      <c r="D47" s="10" t="s">
        <v>41</v>
      </c>
      <c r="E47" s="9"/>
      <c r="F47" s="13" t="s">
        <v>42</v>
      </c>
      <c r="G47" s="45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0" t="e">
        <f t="shared" si="1"/>
        <v>#REF!</v>
      </c>
      <c r="R47" s="170" t="e">
        <f t="shared" si="2"/>
        <v>#REF!</v>
      </c>
    </row>
    <row r="48" spans="1:18" ht="14.25">
      <c r="A48" s="139">
        <v>13</v>
      </c>
      <c r="B48" s="9"/>
      <c r="C48" s="6" t="s">
        <v>43</v>
      </c>
      <c r="D48" s="9"/>
      <c r="E48" s="9">
        <v>183</v>
      </c>
      <c r="F48" s="13" t="s">
        <v>44</v>
      </c>
      <c r="G48" s="45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0" t="e">
        <f t="shared" si="1"/>
        <v>#REF!</v>
      </c>
      <c r="R48" s="170" t="e">
        <f t="shared" si="2"/>
        <v>#REF!</v>
      </c>
    </row>
    <row r="49" spans="1:18" s="2" customFormat="1" ht="36.75">
      <c r="A49" s="142">
        <v>14</v>
      </c>
      <c r="B49" s="9"/>
      <c r="C49" s="6" t="s">
        <v>45</v>
      </c>
      <c r="D49" s="11" t="s">
        <v>46</v>
      </c>
      <c r="E49" s="25"/>
      <c r="F49" s="21" t="s">
        <v>47</v>
      </c>
      <c r="G49" s="44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2" t="e">
        <f t="shared" si="1"/>
        <v>#REF!</v>
      </c>
      <c r="R49" s="82" t="e">
        <f t="shared" si="2"/>
        <v>#REF!</v>
      </c>
    </row>
    <row r="50" spans="1:18" ht="14.25">
      <c r="A50" s="139">
        <v>15</v>
      </c>
      <c r="B50" s="9"/>
      <c r="C50" s="9"/>
      <c r="D50" s="10" t="s">
        <v>48</v>
      </c>
      <c r="E50" s="25"/>
      <c r="F50" s="10" t="s">
        <v>49</v>
      </c>
      <c r="G50" s="45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0" t="e">
        <f t="shared" si="1"/>
        <v>#REF!</v>
      </c>
      <c r="R50" s="170" t="e">
        <f t="shared" si="2"/>
        <v>#REF!</v>
      </c>
    </row>
    <row r="51" spans="1:18" ht="14.25">
      <c r="A51" s="139">
        <v>16</v>
      </c>
      <c r="B51" s="9"/>
      <c r="C51" s="9"/>
      <c r="D51" s="10" t="s">
        <v>50</v>
      </c>
      <c r="E51" s="25">
        <v>192</v>
      </c>
      <c r="F51" s="10" t="s">
        <v>51</v>
      </c>
      <c r="G51" s="45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0" t="e">
        <f t="shared" si="1"/>
        <v>#REF!</v>
      </c>
      <c r="R51" s="170" t="e">
        <f t="shared" si="2"/>
        <v>#REF!</v>
      </c>
    </row>
    <row r="52" spans="1:18" ht="14.25">
      <c r="A52" s="139">
        <v>17</v>
      </c>
      <c r="B52" s="9"/>
      <c r="C52" s="9"/>
      <c r="D52" s="10" t="s">
        <v>52</v>
      </c>
      <c r="E52" s="25">
        <v>191</v>
      </c>
      <c r="F52" s="10" t="s">
        <v>53</v>
      </c>
      <c r="G52" s="45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0" t="e">
        <f t="shared" si="1"/>
        <v>#REF!</v>
      </c>
      <c r="R52" s="170" t="e">
        <f t="shared" si="2"/>
        <v>#REF!</v>
      </c>
    </row>
    <row r="53" spans="1:18" ht="14.25" customHeight="1">
      <c r="A53" s="139">
        <v>18</v>
      </c>
      <c r="B53" s="9"/>
      <c r="C53" s="10" t="s">
        <v>54</v>
      </c>
      <c r="D53" s="13"/>
      <c r="E53" s="9">
        <v>121</v>
      </c>
      <c r="F53" s="13"/>
      <c r="G53" s="45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0" t="e">
        <f t="shared" si="1"/>
        <v>#REF!</v>
      </c>
      <c r="R53" s="170" t="e">
        <f t="shared" si="2"/>
        <v>#REF!</v>
      </c>
    </row>
    <row r="54" spans="1:18" ht="14.25" customHeight="1">
      <c r="A54" s="139">
        <v>19</v>
      </c>
      <c r="B54" s="9"/>
      <c r="C54" s="10" t="s">
        <v>55</v>
      </c>
      <c r="D54" s="13"/>
      <c r="E54" s="9">
        <v>125</v>
      </c>
      <c r="F54" s="10" t="s">
        <v>56</v>
      </c>
      <c r="G54" s="45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0" t="e">
        <f t="shared" si="1"/>
        <v>#REF!</v>
      </c>
      <c r="R54" s="170" t="e">
        <f t="shared" si="2"/>
        <v>#REF!</v>
      </c>
    </row>
    <row r="55" spans="1:18" s="2" customFormat="1" ht="25.5" customHeight="1">
      <c r="A55" s="142">
        <v>20</v>
      </c>
      <c r="B55" s="6" t="s">
        <v>57</v>
      </c>
      <c r="C55" s="11" t="s">
        <v>58</v>
      </c>
      <c r="D55" s="14"/>
      <c r="E55" s="7"/>
      <c r="F55" s="21" t="s">
        <v>59</v>
      </c>
      <c r="G55" s="44" t="s">
        <v>21</v>
      </c>
      <c r="H55" s="83">
        <f aca="true" t="shared" si="3" ref="H55:O55">H57*0.75+H59*0.25</f>
        <v>340</v>
      </c>
      <c r="I55" s="83">
        <f t="shared" si="3"/>
        <v>358.8025</v>
      </c>
      <c r="J55" s="83" t="s">
        <v>109</v>
      </c>
      <c r="K55" s="83">
        <f t="shared" si="3"/>
        <v>350</v>
      </c>
      <c r="L55" s="83">
        <f t="shared" si="3"/>
        <v>369.054</v>
      </c>
      <c r="M55" s="6" t="s">
        <v>109</v>
      </c>
      <c r="N55" s="83">
        <f t="shared" si="3"/>
        <v>337.5</v>
      </c>
      <c r="O55" s="83">
        <f t="shared" si="3"/>
        <v>356.239625</v>
      </c>
      <c r="P55" s="149" t="s">
        <v>109</v>
      </c>
      <c r="Q55" s="82">
        <f t="shared" si="1"/>
        <v>345.46875</v>
      </c>
      <c r="R55" s="82">
        <f t="shared" si="2"/>
        <v>364.4087890625</v>
      </c>
    </row>
    <row r="56" spans="1:18" ht="14.25" customHeight="1">
      <c r="A56" s="139">
        <v>21</v>
      </c>
      <c r="B56" s="9"/>
      <c r="C56" s="13" t="s">
        <v>60</v>
      </c>
      <c r="D56" s="13"/>
      <c r="E56" s="9">
        <v>832</v>
      </c>
      <c r="F56" s="10" t="s">
        <v>61</v>
      </c>
      <c r="G56" s="45" t="s">
        <v>21</v>
      </c>
      <c r="H56" s="23">
        <v>345</v>
      </c>
      <c r="I56" s="23">
        <f>(H56+10)*1.015*1.01</f>
        <v>363.92825</v>
      </c>
      <c r="J56" s="6" t="s">
        <v>237</v>
      </c>
      <c r="K56" s="23">
        <v>345</v>
      </c>
      <c r="L56" s="23">
        <f>(K56+10)*1.015*1.01</f>
        <v>363.92825</v>
      </c>
      <c r="M56" s="6" t="s">
        <v>236</v>
      </c>
      <c r="N56" s="23">
        <v>345</v>
      </c>
      <c r="O56" s="169">
        <f>(N56+10)*1.015*1.01</f>
        <v>363.92825</v>
      </c>
      <c r="P56" s="6" t="s">
        <v>236</v>
      </c>
      <c r="Q56" s="23">
        <f t="shared" si="1"/>
        <v>348.125</v>
      </c>
      <c r="R56" s="23">
        <f t="shared" si="2"/>
        <v>367.13184375</v>
      </c>
    </row>
    <row r="57" spans="1:18" ht="14.25" customHeight="1">
      <c r="A57" s="139">
        <v>22</v>
      </c>
      <c r="B57" s="9"/>
      <c r="C57" s="13" t="s">
        <v>60</v>
      </c>
      <c r="D57" s="13"/>
      <c r="E57" s="9"/>
      <c r="F57" s="10" t="s">
        <v>62</v>
      </c>
      <c r="G57" s="45" t="s">
        <v>21</v>
      </c>
      <c r="H57" s="23">
        <v>330</v>
      </c>
      <c r="I57" s="23">
        <f>(H57+10)*1.015*1.01</f>
        <v>348.551</v>
      </c>
      <c r="J57" s="6" t="s">
        <v>237</v>
      </c>
      <c r="K57" s="23">
        <v>330</v>
      </c>
      <c r="L57" s="23">
        <f>(K57+10)*1.015*1.01</f>
        <v>348.551</v>
      </c>
      <c r="M57" s="6" t="s">
        <v>236</v>
      </c>
      <c r="N57" s="23">
        <v>330</v>
      </c>
      <c r="O57" s="169">
        <f>(N57+10)*1.015*1.01</f>
        <v>348.551</v>
      </c>
      <c r="P57" s="6" t="s">
        <v>236</v>
      </c>
      <c r="Q57" s="23">
        <f t="shared" si="1"/>
        <v>333.125</v>
      </c>
      <c r="R57" s="23">
        <f t="shared" si="2"/>
        <v>351.75459374999997</v>
      </c>
    </row>
    <row r="58" spans="1:18" ht="14.25" customHeight="1">
      <c r="A58" s="139">
        <v>23</v>
      </c>
      <c r="B58" s="9"/>
      <c r="C58" s="13" t="s">
        <v>63</v>
      </c>
      <c r="D58" s="13"/>
      <c r="E58" s="9">
        <v>833</v>
      </c>
      <c r="F58" s="10" t="s">
        <v>61</v>
      </c>
      <c r="G58" s="45" t="s">
        <v>21</v>
      </c>
      <c r="H58" s="23">
        <v>385</v>
      </c>
      <c r="I58" s="23">
        <f>(H58+10)*1.015*1.01</f>
        <v>404.93424999999996</v>
      </c>
      <c r="J58" s="6" t="s">
        <v>237</v>
      </c>
      <c r="K58" s="23">
        <v>425</v>
      </c>
      <c r="L58" s="23">
        <f>(K58+10)*1.015*1.01</f>
        <v>445.94025</v>
      </c>
      <c r="M58" s="6" t="s">
        <v>235</v>
      </c>
      <c r="N58" s="23">
        <v>385</v>
      </c>
      <c r="O58" s="169">
        <f>(N58+10)*1.015*1.01</f>
        <v>404.93424999999996</v>
      </c>
      <c r="P58" s="6" t="s">
        <v>236</v>
      </c>
      <c r="Q58" s="23">
        <f t="shared" si="1"/>
        <v>399.375</v>
      </c>
      <c r="R58" s="23">
        <f t="shared" si="2"/>
        <v>419.67078124999995</v>
      </c>
    </row>
    <row r="59" spans="1:18" ht="14.25" customHeight="1">
      <c r="A59" s="139">
        <v>24</v>
      </c>
      <c r="B59" s="9"/>
      <c r="C59" s="13" t="s">
        <v>63</v>
      </c>
      <c r="D59" s="13"/>
      <c r="E59" s="9"/>
      <c r="F59" s="10" t="s">
        <v>62</v>
      </c>
      <c r="G59" s="45" t="s">
        <v>21</v>
      </c>
      <c r="H59" s="23">
        <v>370</v>
      </c>
      <c r="I59" s="23">
        <f>(H59+10)*1.015*1.01</f>
        <v>389.557</v>
      </c>
      <c r="J59" s="6" t="s">
        <v>237</v>
      </c>
      <c r="K59" s="23">
        <v>410</v>
      </c>
      <c r="L59" s="23">
        <f>(K59+10)*1.015*1.01</f>
        <v>430.56299999999993</v>
      </c>
      <c r="M59" s="6" t="s">
        <v>235</v>
      </c>
      <c r="N59" s="23">
        <v>360</v>
      </c>
      <c r="O59" s="169">
        <f>(N59+10)*1.015*1.01</f>
        <v>379.30549999999994</v>
      </c>
      <c r="P59" s="6" t="s">
        <v>236</v>
      </c>
      <c r="Q59" s="23">
        <f t="shared" si="1"/>
        <v>382.5</v>
      </c>
      <c r="R59" s="23">
        <f t="shared" si="2"/>
        <v>402.371375</v>
      </c>
    </row>
    <row r="60" spans="1:18" ht="14.25" customHeight="1" hidden="1">
      <c r="A60" s="45">
        <v>25</v>
      </c>
      <c r="B60" s="6" t="s">
        <v>64</v>
      </c>
      <c r="C60" s="15" t="s">
        <v>65</v>
      </c>
      <c r="D60" s="16"/>
      <c r="E60" s="26"/>
      <c r="F60" s="27" t="s">
        <v>66</v>
      </c>
      <c r="G60" s="26" t="s">
        <v>67</v>
      </c>
      <c r="H60" s="147"/>
      <c r="I60" s="26">
        <v>6.43</v>
      </c>
      <c r="J60" s="160" t="s">
        <v>165</v>
      </c>
      <c r="K60" s="147"/>
      <c r="L60" s="26">
        <v>6.43</v>
      </c>
      <c r="M60" s="160" t="s">
        <v>165</v>
      </c>
      <c r="N60" s="147"/>
      <c r="O60" s="26">
        <v>6.43</v>
      </c>
      <c r="P60" s="160" t="s">
        <v>165</v>
      </c>
      <c r="Q60" s="23" t="e">
        <f t="shared" si="1"/>
        <v>#DIV/0!</v>
      </c>
      <c r="R60" s="171">
        <f t="shared" si="2"/>
        <v>6.43</v>
      </c>
    </row>
    <row r="61" spans="1:18" ht="14.25" customHeight="1" hidden="1">
      <c r="A61" s="45">
        <v>26</v>
      </c>
      <c r="B61" s="6"/>
      <c r="C61" s="15" t="s">
        <v>65</v>
      </c>
      <c r="D61" s="16"/>
      <c r="E61" s="26">
        <v>862</v>
      </c>
      <c r="F61" s="27" t="s">
        <v>68</v>
      </c>
      <c r="G61" s="26" t="s">
        <v>67</v>
      </c>
      <c r="H61" s="147"/>
      <c r="I61" s="26">
        <v>6.83</v>
      </c>
      <c r="J61" s="160" t="s">
        <v>165</v>
      </c>
      <c r="K61" s="147"/>
      <c r="L61" s="26">
        <v>6.83</v>
      </c>
      <c r="M61" s="160" t="s">
        <v>165</v>
      </c>
      <c r="N61" s="147"/>
      <c r="O61" s="26">
        <v>6.83</v>
      </c>
      <c r="P61" s="160" t="s">
        <v>165</v>
      </c>
      <c r="Q61" s="23" t="e">
        <f t="shared" si="1"/>
        <v>#DIV/0!</v>
      </c>
      <c r="R61" s="171">
        <f t="shared" si="2"/>
        <v>6.829999999999999</v>
      </c>
    </row>
    <row r="62" spans="1:18" ht="14.25" customHeight="1" hidden="1">
      <c r="A62" s="45">
        <v>27</v>
      </c>
      <c r="B62" s="17"/>
      <c r="C62" s="10" t="s">
        <v>69</v>
      </c>
      <c r="D62" s="18"/>
      <c r="E62" s="26">
        <v>863</v>
      </c>
      <c r="F62" s="27" t="s">
        <v>70</v>
      </c>
      <c r="G62" s="148" t="s">
        <v>67</v>
      </c>
      <c r="H62" s="147"/>
      <c r="I62" s="26">
        <v>5.89</v>
      </c>
      <c r="J62" s="160" t="s">
        <v>165</v>
      </c>
      <c r="K62" s="147"/>
      <c r="L62" s="26">
        <v>5.89</v>
      </c>
      <c r="M62" s="160" t="s">
        <v>165</v>
      </c>
      <c r="N62" s="147"/>
      <c r="O62" s="26">
        <v>5.89</v>
      </c>
      <c r="P62" s="160" t="s">
        <v>165</v>
      </c>
      <c r="Q62" s="23" t="e">
        <f t="shared" si="1"/>
        <v>#DIV/0!</v>
      </c>
      <c r="R62" s="171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1.7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2"/>
    </row>
    <row r="2" spans="1:24" s="106" customFormat="1" ht="12.75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3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43" t="s">
        <v>229</v>
      </c>
      <c r="I3" s="151"/>
      <c r="J3" s="152"/>
      <c r="K3" s="143" t="s">
        <v>230</v>
      </c>
      <c r="L3" s="153"/>
      <c r="M3" s="162"/>
      <c r="N3" s="143" t="s">
        <v>231</v>
      </c>
      <c r="O3" s="153"/>
      <c r="P3" s="162"/>
      <c r="Q3" s="143" t="s">
        <v>232</v>
      </c>
      <c r="R3" s="153"/>
      <c r="S3" s="162"/>
      <c r="T3" s="143" t="s">
        <v>233</v>
      </c>
      <c r="U3" s="153"/>
      <c r="V3" s="162"/>
      <c r="W3" s="43" t="s">
        <v>80</v>
      </c>
      <c r="X3" s="101"/>
    </row>
    <row r="4" spans="1:27" ht="24">
      <c r="A4" s="139"/>
      <c r="B4" s="139"/>
      <c r="C4" s="140"/>
      <c r="D4" s="141"/>
      <c r="E4" s="139"/>
      <c r="F4" s="139"/>
      <c r="G4" s="139"/>
      <c r="H4" s="43" t="s">
        <v>14</v>
      </c>
      <c r="I4" s="43" t="s">
        <v>15</v>
      </c>
      <c r="J4" s="43" t="s">
        <v>106</v>
      </c>
      <c r="K4" s="43" t="s">
        <v>14</v>
      </c>
      <c r="L4" s="43" t="s">
        <v>15</v>
      </c>
      <c r="M4" s="43" t="s">
        <v>106</v>
      </c>
      <c r="N4" s="43" t="s">
        <v>14</v>
      </c>
      <c r="O4" s="43" t="s">
        <v>15</v>
      </c>
      <c r="P4" s="43" t="s">
        <v>106</v>
      </c>
      <c r="Q4" s="43" t="s">
        <v>14</v>
      </c>
      <c r="R4" s="43" t="s">
        <v>15</v>
      </c>
      <c r="S4" s="43" t="s">
        <v>106</v>
      </c>
      <c r="T4" s="43" t="s">
        <v>14</v>
      </c>
      <c r="U4" s="43" t="s">
        <v>15</v>
      </c>
      <c r="V4" s="43" t="s">
        <v>106</v>
      </c>
      <c r="W4" s="43"/>
      <c r="X4" s="101"/>
      <c r="Y4" s="177" t="s">
        <v>14</v>
      </c>
      <c r="Z4" s="43" t="s">
        <v>15</v>
      </c>
      <c r="AA4" s="43" t="s">
        <v>106</v>
      </c>
    </row>
    <row r="5" spans="1:27" s="2" customFormat="1" ht="24.75" customHeight="1">
      <c r="A5" s="14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44" t="s">
        <v>21</v>
      </c>
      <c r="H5" s="144" t="e">
        <f>H6*0.8+H7*0.2</f>
        <v>#REF!</v>
      </c>
      <c r="I5" s="82" t="e">
        <f>I6*0.8+I7*0.2</f>
        <v>#REF!</v>
      </c>
      <c r="J5" s="154"/>
      <c r="K5" s="155"/>
      <c r="L5" s="82"/>
      <c r="M5" s="149"/>
      <c r="N5" s="144"/>
      <c r="O5" s="163"/>
      <c r="P5" s="149"/>
      <c r="Q5" s="149"/>
      <c r="R5" s="149"/>
      <c r="S5" s="149"/>
      <c r="T5" s="149"/>
      <c r="U5" s="149"/>
      <c r="V5" s="149"/>
      <c r="W5" s="44">
        <v>17</v>
      </c>
      <c r="X5" s="174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39">
        <v>2</v>
      </c>
      <c r="B6" s="9"/>
      <c r="C6" s="9"/>
      <c r="D6" s="10" t="s">
        <v>22</v>
      </c>
      <c r="E6" s="9"/>
      <c r="F6" s="10" t="s">
        <v>23</v>
      </c>
      <c r="G6" s="45" t="s">
        <v>21</v>
      </c>
      <c r="H6" s="145" t="e">
        <f>#REF!+28</f>
        <v>#REF!</v>
      </c>
      <c r="I6" s="112" t="e">
        <f>(H6+27)*1.015</f>
        <v>#REF!</v>
      </c>
      <c r="J6" s="32" t="s">
        <v>89</v>
      </c>
      <c r="K6" s="156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5">
        <v>17</v>
      </c>
      <c r="X6" s="175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39">
        <v>3</v>
      </c>
      <c r="B7" s="9"/>
      <c r="C7" s="9"/>
      <c r="D7" s="10" t="s">
        <v>24</v>
      </c>
      <c r="E7" s="9"/>
      <c r="F7" s="10" t="s">
        <v>25</v>
      </c>
      <c r="G7" s="45" t="s">
        <v>21</v>
      </c>
      <c r="H7" s="145" t="e">
        <f>#REF!+28</f>
        <v>#REF!</v>
      </c>
      <c r="I7" s="112" t="e">
        <f>(H7+27)*1.015</f>
        <v>#REF!</v>
      </c>
      <c r="J7" s="32" t="s">
        <v>89</v>
      </c>
      <c r="K7" s="156"/>
      <c r="L7" s="112"/>
      <c r="M7" s="150"/>
      <c r="N7" s="164"/>
      <c r="O7" s="159"/>
      <c r="P7" s="150"/>
      <c r="Q7" s="150"/>
      <c r="R7" s="150"/>
      <c r="S7" s="150"/>
      <c r="T7" s="150"/>
      <c r="U7" s="150"/>
      <c r="V7" s="150"/>
      <c r="W7" s="45">
        <v>17</v>
      </c>
      <c r="X7" s="175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44" t="s">
        <v>21</v>
      </c>
      <c r="H8" s="144" t="e">
        <f>H9*0.03+H10*0.38+H11*0.27+H12*0.32</f>
        <v>#REF!</v>
      </c>
      <c r="I8" s="82" t="e">
        <f>I9*0.03+I10*0.38+I11*0.27+I12*0.32</f>
        <v>#REF!</v>
      </c>
      <c r="J8" s="33"/>
      <c r="K8" s="155"/>
      <c r="L8" s="82"/>
      <c r="M8" s="149"/>
      <c r="N8" s="144"/>
      <c r="O8" s="163"/>
      <c r="P8" s="149"/>
      <c r="Q8" s="149"/>
      <c r="R8" s="149"/>
      <c r="S8" s="149"/>
      <c r="T8" s="149"/>
      <c r="U8" s="149"/>
      <c r="V8" s="149"/>
      <c r="W8" s="44">
        <v>17</v>
      </c>
      <c r="X8" s="174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39">
        <v>5</v>
      </c>
      <c r="B9" s="9"/>
      <c r="C9" s="9"/>
      <c r="D9" s="10" t="s">
        <v>29</v>
      </c>
      <c r="E9" s="9"/>
      <c r="F9" s="10" t="s">
        <v>30</v>
      </c>
      <c r="G9" s="45" t="s">
        <v>21</v>
      </c>
      <c r="H9" s="145" t="e">
        <f>#REF!+28</f>
        <v>#REF!</v>
      </c>
      <c r="I9" s="112" t="e">
        <f>(H9+27)*1.015</f>
        <v>#REF!</v>
      </c>
      <c r="J9" s="32" t="s">
        <v>90</v>
      </c>
      <c r="K9" s="156"/>
      <c r="L9" s="112"/>
      <c r="M9" s="150"/>
      <c r="N9" s="164"/>
      <c r="O9" s="159"/>
      <c r="P9" s="150"/>
      <c r="Q9" s="150"/>
      <c r="R9" s="150"/>
      <c r="S9" s="150"/>
      <c r="T9" s="150"/>
      <c r="U9" s="150"/>
      <c r="V9" s="150"/>
      <c r="W9" s="45">
        <v>17</v>
      </c>
      <c r="X9" s="175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39">
        <v>6</v>
      </c>
      <c r="B10" s="9"/>
      <c r="C10" s="9"/>
      <c r="D10" s="10" t="s">
        <v>29</v>
      </c>
      <c r="E10" s="9"/>
      <c r="F10" s="10" t="s">
        <v>31</v>
      </c>
      <c r="G10" s="45" t="s">
        <v>21</v>
      </c>
      <c r="H10" s="145" t="e">
        <f>#REF!+28</f>
        <v>#REF!</v>
      </c>
      <c r="I10" s="112" t="e">
        <f>(H10+27)*1.015</f>
        <v>#REF!</v>
      </c>
      <c r="J10" s="32" t="s">
        <v>90</v>
      </c>
      <c r="K10" s="156"/>
      <c r="L10" s="112"/>
      <c r="M10" s="150"/>
      <c r="N10" s="164"/>
      <c r="O10" s="159"/>
      <c r="P10" s="150"/>
      <c r="Q10" s="150"/>
      <c r="R10" s="150"/>
      <c r="S10" s="150"/>
      <c r="T10" s="150"/>
      <c r="U10" s="150"/>
      <c r="V10" s="150"/>
      <c r="W10" s="45">
        <v>17</v>
      </c>
      <c r="X10" s="175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39">
        <v>7</v>
      </c>
      <c r="B11" s="9"/>
      <c r="C11" s="9"/>
      <c r="D11" s="10" t="s">
        <v>29</v>
      </c>
      <c r="E11" s="9"/>
      <c r="F11" s="10" t="s">
        <v>32</v>
      </c>
      <c r="G11" s="45" t="s">
        <v>21</v>
      </c>
      <c r="H11" s="145" t="e">
        <f>#REF!+28</f>
        <v>#REF!</v>
      </c>
      <c r="I11" s="112" t="e">
        <f>(H11+27)*1.015</f>
        <v>#REF!</v>
      </c>
      <c r="J11" s="32" t="s">
        <v>90</v>
      </c>
      <c r="K11" s="156"/>
      <c r="L11" s="112"/>
      <c r="M11" s="150"/>
      <c r="N11" s="164"/>
      <c r="O11" s="159"/>
      <c r="P11" s="150"/>
      <c r="Q11" s="150"/>
      <c r="R11" s="150"/>
      <c r="S11" s="150"/>
      <c r="T11" s="150"/>
      <c r="U11" s="150"/>
      <c r="V11" s="150"/>
      <c r="W11" s="45">
        <v>17</v>
      </c>
      <c r="X11" s="175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39">
        <v>8</v>
      </c>
      <c r="B12" s="9"/>
      <c r="C12" s="9"/>
      <c r="D12" s="10" t="s">
        <v>29</v>
      </c>
      <c r="E12" s="9"/>
      <c r="F12" s="10" t="s">
        <v>33</v>
      </c>
      <c r="G12" s="45" t="s">
        <v>21</v>
      </c>
      <c r="H12" s="145" t="e">
        <f>#REF!+28</f>
        <v>#REF!</v>
      </c>
      <c r="I12" s="112" t="e">
        <f>(H12+27)*1.015</f>
        <v>#REF!</v>
      </c>
      <c r="J12" s="32" t="s">
        <v>90</v>
      </c>
      <c r="K12" s="156"/>
      <c r="L12" s="112"/>
      <c r="M12" s="150"/>
      <c r="N12" s="164"/>
      <c r="O12" s="159"/>
      <c r="P12" s="150"/>
      <c r="Q12" s="150"/>
      <c r="R12" s="150"/>
      <c r="S12" s="150"/>
      <c r="T12" s="150"/>
      <c r="U12" s="150"/>
      <c r="V12" s="150"/>
      <c r="W12" s="45">
        <v>17</v>
      </c>
      <c r="X12" s="175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44" t="s">
        <v>21</v>
      </c>
      <c r="H13" s="146" t="e">
        <f>H14*0.27+H15*0.67+H16*0.06</f>
        <v>#REF!</v>
      </c>
      <c r="I13" s="83" t="e">
        <f>I14*0.27+I15*0.67+I16*0.06</f>
        <v>#REF!</v>
      </c>
      <c r="J13" s="33"/>
      <c r="K13" s="83"/>
      <c r="L13" s="83"/>
      <c r="M13" s="83"/>
      <c r="N13" s="146"/>
      <c r="O13" s="146"/>
      <c r="P13" s="83"/>
      <c r="Q13" s="83"/>
      <c r="R13" s="83"/>
      <c r="S13" s="83"/>
      <c r="T13" s="83"/>
      <c r="U13" s="83"/>
      <c r="V13" s="83"/>
      <c r="W13" s="45">
        <v>17</v>
      </c>
      <c r="X13" s="175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39">
        <v>10</v>
      </c>
      <c r="B14" s="9"/>
      <c r="C14" s="9"/>
      <c r="D14" s="10" t="s">
        <v>37</v>
      </c>
      <c r="E14" s="9"/>
      <c r="F14" s="13" t="s">
        <v>38</v>
      </c>
      <c r="G14" s="45" t="s">
        <v>21</v>
      </c>
      <c r="H14" s="145" t="e">
        <f>#REF!+20</f>
        <v>#REF!</v>
      </c>
      <c r="I14" s="112" t="e">
        <f>(H14+27)*1.015</f>
        <v>#REF!</v>
      </c>
      <c r="J14" s="32" t="s">
        <v>91</v>
      </c>
      <c r="K14" s="156"/>
      <c r="L14" s="112"/>
      <c r="M14" s="150"/>
      <c r="N14" s="164"/>
      <c r="O14" s="159"/>
      <c r="P14" s="150"/>
      <c r="Q14" s="150"/>
      <c r="R14" s="150"/>
      <c r="S14" s="150"/>
      <c r="T14" s="150"/>
      <c r="U14" s="150"/>
      <c r="V14" s="150"/>
      <c r="W14" s="45">
        <v>17</v>
      </c>
      <c r="X14" s="175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39">
        <v>11</v>
      </c>
      <c r="B15" s="9"/>
      <c r="C15" s="9"/>
      <c r="D15" s="10" t="s">
        <v>39</v>
      </c>
      <c r="E15" s="9"/>
      <c r="F15" s="13" t="s">
        <v>40</v>
      </c>
      <c r="G15" s="45" t="s">
        <v>21</v>
      </c>
      <c r="H15" s="145" t="e">
        <f>#REF!+20</f>
        <v>#REF!</v>
      </c>
      <c r="I15" s="112" t="e">
        <f>(H15+27)*1.015</f>
        <v>#REF!</v>
      </c>
      <c r="J15" s="32" t="s">
        <v>92</v>
      </c>
      <c r="K15" s="156"/>
      <c r="L15" s="112"/>
      <c r="M15" s="150"/>
      <c r="N15" s="165"/>
      <c r="O15" s="159"/>
      <c r="P15" s="150"/>
      <c r="Q15" s="150"/>
      <c r="R15" s="150"/>
      <c r="S15" s="150"/>
      <c r="T15" s="150"/>
      <c r="U15" s="150"/>
      <c r="V15" s="150"/>
      <c r="W15" s="45">
        <v>17</v>
      </c>
      <c r="X15" s="175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39">
        <v>12</v>
      </c>
      <c r="B16" s="9"/>
      <c r="C16" s="9"/>
      <c r="D16" s="10" t="s">
        <v>41</v>
      </c>
      <c r="E16" s="9"/>
      <c r="F16" s="13" t="s">
        <v>42</v>
      </c>
      <c r="G16" s="45" t="s">
        <v>21</v>
      </c>
      <c r="H16" s="145" t="e">
        <f>#REF!+20</f>
        <v>#REF!</v>
      </c>
      <c r="I16" s="112" t="e">
        <f>(H16+27)*1.015</f>
        <v>#REF!</v>
      </c>
      <c r="J16" s="32" t="s">
        <v>91</v>
      </c>
      <c r="K16" s="156"/>
      <c r="L16" s="112"/>
      <c r="M16" s="150"/>
      <c r="N16" s="164"/>
      <c r="O16" s="159"/>
      <c r="P16" s="150"/>
      <c r="Q16" s="150"/>
      <c r="R16" s="150"/>
      <c r="S16" s="150"/>
      <c r="T16" s="150"/>
      <c r="U16" s="150"/>
      <c r="V16" s="150"/>
      <c r="W16" s="45">
        <v>17</v>
      </c>
      <c r="X16" s="175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39">
        <v>13</v>
      </c>
      <c r="B17" s="9"/>
      <c r="C17" s="6" t="s">
        <v>43</v>
      </c>
      <c r="D17" s="9"/>
      <c r="E17" s="9">
        <v>183</v>
      </c>
      <c r="F17" s="13" t="s">
        <v>44</v>
      </c>
      <c r="G17" s="45" t="s">
        <v>21</v>
      </c>
      <c r="H17" s="145" t="e">
        <f>#REF!+20</f>
        <v>#REF!</v>
      </c>
      <c r="I17" s="112" t="e">
        <f>(H17+27)*1.015</f>
        <v>#REF!</v>
      </c>
      <c r="J17" s="32" t="s">
        <v>91</v>
      </c>
      <c r="K17" s="156"/>
      <c r="L17" s="112"/>
      <c r="M17" s="150"/>
      <c r="N17" s="164"/>
      <c r="O17" s="159"/>
      <c r="P17" s="150"/>
      <c r="Q17" s="150"/>
      <c r="R17" s="150"/>
      <c r="S17" s="150"/>
      <c r="T17" s="150"/>
      <c r="U17" s="150"/>
      <c r="V17" s="150"/>
      <c r="W17" s="45">
        <v>17</v>
      </c>
      <c r="X17" s="175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44" t="s">
        <v>21</v>
      </c>
      <c r="H18" s="83" t="e">
        <f>H19*0.6+H20*0.2+H21*0.2</f>
        <v>#REF!</v>
      </c>
      <c r="I18" s="83" t="e">
        <f>I19*0.6+I20*0.2+I21*0.2</f>
        <v>#REF!</v>
      </c>
      <c r="J18" s="157"/>
      <c r="K18" s="83"/>
      <c r="L18" s="83"/>
      <c r="M18" s="149"/>
      <c r="N18" s="166"/>
      <c r="O18" s="163"/>
      <c r="P18" s="149"/>
      <c r="Q18" s="149"/>
      <c r="R18" s="149"/>
      <c r="S18" s="149"/>
      <c r="T18" s="149"/>
      <c r="U18" s="149"/>
      <c r="V18" s="149"/>
      <c r="W18" s="45">
        <v>17</v>
      </c>
      <c r="X18" s="175"/>
      <c r="Y18" s="183">
        <f>Y19*0.6+Y20*0.2+Y21*0.2</f>
        <v>4137</v>
      </c>
      <c r="Z18" s="112">
        <f>Z19*0.6+Z20*0.2+Z21*0.2</f>
        <v>4227</v>
      </c>
      <c r="AA18" s="83"/>
    </row>
    <row r="19" spans="1:27" ht="17.25" customHeight="1">
      <c r="A19" s="139">
        <v>15</v>
      </c>
      <c r="B19" s="9"/>
      <c r="C19" s="9"/>
      <c r="D19" s="10" t="s">
        <v>48</v>
      </c>
      <c r="E19" s="25"/>
      <c r="F19" s="10" t="s">
        <v>49</v>
      </c>
      <c r="G19" s="45" t="s">
        <v>21</v>
      </c>
      <c r="H19" s="145" t="e">
        <f>#REF!+20</f>
        <v>#REF!</v>
      </c>
      <c r="I19" s="145" t="e">
        <f>(H19+27)*1.015</f>
        <v>#REF!</v>
      </c>
      <c r="J19" s="31" t="s">
        <v>93</v>
      </c>
      <c r="K19" s="156"/>
      <c r="L19" s="112"/>
      <c r="M19" s="150"/>
      <c r="N19" s="164"/>
      <c r="O19" s="159"/>
      <c r="P19" s="150"/>
      <c r="Q19" s="150"/>
      <c r="R19" s="150"/>
      <c r="S19" s="150"/>
      <c r="T19" s="150"/>
      <c r="U19" s="150"/>
      <c r="V19" s="150"/>
      <c r="W19" s="45">
        <v>17</v>
      </c>
      <c r="X19" s="175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39">
        <v>16</v>
      </c>
      <c r="B20" s="9"/>
      <c r="C20" s="9"/>
      <c r="D20" s="10" t="s">
        <v>50</v>
      </c>
      <c r="E20" s="25">
        <v>192</v>
      </c>
      <c r="F20" s="10" t="s">
        <v>51</v>
      </c>
      <c r="G20" s="45" t="s">
        <v>21</v>
      </c>
      <c r="H20" s="145" t="e">
        <f>#REF!+20</f>
        <v>#REF!</v>
      </c>
      <c r="I20" s="145" t="e">
        <f>(H20+27)*1.015</f>
        <v>#REF!</v>
      </c>
      <c r="J20" s="31" t="s">
        <v>93</v>
      </c>
      <c r="K20" s="156"/>
      <c r="L20" s="150"/>
      <c r="M20" s="150"/>
      <c r="N20" s="167"/>
      <c r="O20" s="159"/>
      <c r="P20" s="150"/>
      <c r="Q20" s="150"/>
      <c r="R20" s="150"/>
      <c r="S20" s="150"/>
      <c r="T20" s="150"/>
      <c r="U20" s="150"/>
      <c r="V20" s="150"/>
      <c r="W20" s="45">
        <v>17</v>
      </c>
      <c r="X20" s="175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39">
        <v>17</v>
      </c>
      <c r="B21" s="9"/>
      <c r="C21" s="9"/>
      <c r="D21" s="10" t="s">
        <v>52</v>
      </c>
      <c r="E21" s="25">
        <v>191</v>
      </c>
      <c r="F21" s="10" t="s">
        <v>53</v>
      </c>
      <c r="G21" s="45" t="s">
        <v>21</v>
      </c>
      <c r="H21" s="145" t="e">
        <f>#REF!+20</f>
        <v>#REF!</v>
      </c>
      <c r="I21" s="145" t="e">
        <f>(H21+27)*1.015</f>
        <v>#REF!</v>
      </c>
      <c r="J21" s="32" t="s">
        <v>94</v>
      </c>
      <c r="K21" s="156"/>
      <c r="L21" s="112"/>
      <c r="M21" s="150"/>
      <c r="N21" s="164"/>
      <c r="O21" s="159"/>
      <c r="P21" s="150"/>
      <c r="Q21" s="150"/>
      <c r="R21" s="150"/>
      <c r="S21" s="150"/>
      <c r="T21" s="150"/>
      <c r="U21" s="150"/>
      <c r="V21" s="150"/>
      <c r="W21" s="45">
        <v>17</v>
      </c>
      <c r="X21" s="175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39">
        <v>18</v>
      </c>
      <c r="B22" s="9"/>
      <c r="C22" s="10" t="s">
        <v>54</v>
      </c>
      <c r="D22" s="13"/>
      <c r="E22" s="9">
        <v>121</v>
      </c>
      <c r="F22" s="13"/>
      <c r="G22" s="45" t="s">
        <v>21</v>
      </c>
      <c r="H22" s="145" t="e">
        <f>#REF!+20</f>
        <v>#REF!</v>
      </c>
      <c r="I22" s="145" t="e">
        <f>(H22+27)*1.015</f>
        <v>#REF!</v>
      </c>
      <c r="J22" s="158"/>
      <c r="K22" s="156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5">
        <v>17</v>
      </c>
      <c r="X22" s="175"/>
      <c r="Y22" s="183">
        <v>6600</v>
      </c>
      <c r="Z22" s="112">
        <v>6720</v>
      </c>
      <c r="AA22" s="150"/>
    </row>
    <row r="23" spans="1:27" ht="17.25" customHeight="1">
      <c r="A23" s="139">
        <v>19</v>
      </c>
      <c r="B23" s="9"/>
      <c r="C23" s="10" t="s">
        <v>55</v>
      </c>
      <c r="D23" s="13"/>
      <c r="E23" s="9">
        <v>125</v>
      </c>
      <c r="F23" s="10" t="s">
        <v>56</v>
      </c>
      <c r="G23" s="45" t="s">
        <v>21</v>
      </c>
      <c r="H23" s="145" t="e">
        <f>#REF!+20</f>
        <v>#REF!</v>
      </c>
      <c r="I23" s="145" t="e">
        <f>(H23+27)*1.015</f>
        <v>#REF!</v>
      </c>
      <c r="J23" s="158"/>
      <c r="K23" s="156"/>
      <c r="L23" s="112"/>
      <c r="M23" s="150"/>
      <c r="N23" s="156"/>
      <c r="O23" s="112"/>
      <c r="P23" s="150"/>
      <c r="Q23" s="150"/>
      <c r="R23" s="150"/>
      <c r="S23" s="150"/>
      <c r="T23" s="150"/>
      <c r="U23" s="150"/>
      <c r="V23" s="150"/>
      <c r="W23" s="45">
        <v>17</v>
      </c>
      <c r="X23" s="175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2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44" t="s">
        <v>21</v>
      </c>
      <c r="H24" s="83">
        <f>H26*0.75+H28*0.25</f>
        <v>372.5</v>
      </c>
      <c r="I24" s="83">
        <f>I26*0.75+I28*0.25</f>
        <v>392.1198749999999</v>
      </c>
      <c r="J24" s="83" t="s">
        <v>109</v>
      </c>
      <c r="K24" s="83">
        <f aca="true" t="shared" si="0" ref="K24:U24">K26*0.75+K28*0.25</f>
        <v>333.75</v>
      </c>
      <c r="L24" s="83">
        <f t="shared" si="0"/>
        <v>352.3953125</v>
      </c>
      <c r="M24" s="83" t="s">
        <v>109</v>
      </c>
      <c r="N24" s="83">
        <f t="shared" si="0"/>
        <v>340</v>
      </c>
      <c r="O24" s="83">
        <f t="shared" si="0"/>
        <v>358.8025</v>
      </c>
      <c r="P24" s="83" t="s">
        <v>109</v>
      </c>
      <c r="Q24" s="83">
        <f t="shared" si="0"/>
        <v>340</v>
      </c>
      <c r="R24" s="83">
        <f t="shared" si="0"/>
        <v>358.8025</v>
      </c>
      <c r="S24" s="83" t="s">
        <v>109</v>
      </c>
      <c r="T24" s="83">
        <f t="shared" si="0"/>
        <v>350</v>
      </c>
      <c r="U24" s="83">
        <f t="shared" si="0"/>
        <v>369.054</v>
      </c>
      <c r="V24" s="112" t="s">
        <v>109</v>
      </c>
      <c r="W24" s="45">
        <v>17</v>
      </c>
      <c r="X24" s="175"/>
    </row>
    <row r="25" spans="1:24" ht="17.25" customHeight="1">
      <c r="A25" s="139">
        <v>21</v>
      </c>
      <c r="B25" s="9"/>
      <c r="C25" s="13" t="s">
        <v>60</v>
      </c>
      <c r="D25" s="13"/>
      <c r="E25" s="9">
        <v>832</v>
      </c>
      <c r="F25" s="10" t="s">
        <v>61</v>
      </c>
      <c r="G25" s="45" t="s">
        <v>21</v>
      </c>
      <c r="H25" s="112">
        <v>375</v>
      </c>
      <c r="I25" s="23">
        <f>(H25+10)*(1+1.5%)*(1+1%)</f>
        <v>394.68275</v>
      </c>
      <c r="J25" s="159" t="s">
        <v>235</v>
      </c>
      <c r="K25" s="23">
        <v>340</v>
      </c>
      <c r="L25" s="23">
        <f>(K25+10)*1.015*1.01</f>
        <v>358.80249999999995</v>
      </c>
      <c r="M25" s="102" t="s">
        <v>236</v>
      </c>
      <c r="N25" s="23">
        <v>345</v>
      </c>
      <c r="O25" s="23">
        <f>(N25+10)*1.015*1.01</f>
        <v>363.92825</v>
      </c>
      <c r="P25" s="6" t="s">
        <v>237</v>
      </c>
      <c r="Q25" s="23">
        <v>345</v>
      </c>
      <c r="R25" s="23">
        <f>(Q25+10)*1.015*1.01</f>
        <v>363.92825</v>
      </c>
      <c r="S25" s="6" t="s">
        <v>237</v>
      </c>
      <c r="T25" s="23">
        <v>345</v>
      </c>
      <c r="U25" s="23">
        <f>(T25+10)*1.015*1.01</f>
        <v>363.92825</v>
      </c>
      <c r="V25" s="6" t="s">
        <v>236</v>
      </c>
      <c r="W25" s="45">
        <v>17</v>
      </c>
      <c r="X25" s="175"/>
    </row>
    <row r="26" spans="1:24" ht="17.25" customHeight="1">
      <c r="A26" s="139">
        <v>22</v>
      </c>
      <c r="B26" s="9"/>
      <c r="C26" s="13" t="s">
        <v>60</v>
      </c>
      <c r="D26" s="13"/>
      <c r="E26" s="9"/>
      <c r="F26" s="10" t="s">
        <v>62</v>
      </c>
      <c r="G26" s="45" t="s">
        <v>21</v>
      </c>
      <c r="H26" s="112">
        <v>360</v>
      </c>
      <c r="I26" s="23">
        <f>(H26+10)*1.015*1.01</f>
        <v>379.30549999999994</v>
      </c>
      <c r="J26" s="159" t="s">
        <v>235</v>
      </c>
      <c r="K26" s="23">
        <v>325</v>
      </c>
      <c r="L26" s="23">
        <f>(K26+10)*1.015*1.01</f>
        <v>343.42525</v>
      </c>
      <c r="M26" s="102" t="s">
        <v>236</v>
      </c>
      <c r="N26" s="23">
        <v>330</v>
      </c>
      <c r="O26" s="23">
        <f>(N26+10)*1.015*1.01</f>
        <v>348.551</v>
      </c>
      <c r="P26" s="6" t="s">
        <v>237</v>
      </c>
      <c r="Q26" s="23">
        <v>330</v>
      </c>
      <c r="R26" s="23">
        <f>(Q26+10)*1.015*1.01</f>
        <v>348.551</v>
      </c>
      <c r="S26" s="6" t="s">
        <v>237</v>
      </c>
      <c r="T26" s="23">
        <v>330</v>
      </c>
      <c r="U26" s="23">
        <f>(T26+10)*1.015*1.01</f>
        <v>348.551</v>
      </c>
      <c r="V26" s="6" t="s">
        <v>236</v>
      </c>
      <c r="W26" s="45">
        <v>17</v>
      </c>
      <c r="X26" s="175"/>
    </row>
    <row r="27" spans="1:24" ht="14.25" customHeight="1">
      <c r="A27" s="139">
        <v>23</v>
      </c>
      <c r="B27" s="9"/>
      <c r="C27" s="13" t="s">
        <v>63</v>
      </c>
      <c r="D27" s="13"/>
      <c r="E27" s="9">
        <v>833</v>
      </c>
      <c r="F27" s="10" t="s">
        <v>61</v>
      </c>
      <c r="G27" s="45" t="s">
        <v>21</v>
      </c>
      <c r="H27" s="112">
        <v>425</v>
      </c>
      <c r="I27" s="23">
        <f>(H27+10)*1.015*1.01</f>
        <v>445.94025</v>
      </c>
      <c r="J27" s="159" t="s">
        <v>235</v>
      </c>
      <c r="K27" s="23">
        <v>380</v>
      </c>
      <c r="L27" s="23">
        <f>(K27+10)*1.015*1.01</f>
        <v>399.8085</v>
      </c>
      <c r="M27" s="102" t="s">
        <v>236</v>
      </c>
      <c r="N27" s="23">
        <v>385</v>
      </c>
      <c r="O27" s="23">
        <f>(N27+10)*1.015*1.01</f>
        <v>404.93424999999996</v>
      </c>
      <c r="P27" s="6" t="s">
        <v>237</v>
      </c>
      <c r="Q27" s="23">
        <v>385</v>
      </c>
      <c r="R27" s="23">
        <f>(Q27+10)*1.015*1.01</f>
        <v>404.93424999999996</v>
      </c>
      <c r="S27" s="6" t="s">
        <v>237</v>
      </c>
      <c r="T27" s="23">
        <v>425</v>
      </c>
      <c r="U27" s="23">
        <f>(T27+10)*1.015*1.01</f>
        <v>445.94025</v>
      </c>
      <c r="V27" s="159" t="s">
        <v>235</v>
      </c>
      <c r="W27" s="45">
        <v>17</v>
      </c>
      <c r="X27" s="175"/>
    </row>
    <row r="28" spans="1:24" ht="14.25" customHeight="1">
      <c r="A28" s="139">
        <v>24</v>
      </c>
      <c r="B28" s="9"/>
      <c r="C28" s="13" t="s">
        <v>63</v>
      </c>
      <c r="D28" s="13"/>
      <c r="E28" s="9"/>
      <c r="F28" s="10" t="s">
        <v>62</v>
      </c>
      <c r="G28" s="45" t="s">
        <v>21</v>
      </c>
      <c r="H28" s="112">
        <v>410</v>
      </c>
      <c r="I28" s="23">
        <f>(H28+10)*1.015*1.01</f>
        <v>430.56299999999993</v>
      </c>
      <c r="J28" s="159" t="s">
        <v>235</v>
      </c>
      <c r="K28" s="23">
        <v>360</v>
      </c>
      <c r="L28" s="23">
        <f>(K28+10)*1.015*1.01</f>
        <v>379.30549999999994</v>
      </c>
      <c r="M28" s="102" t="s">
        <v>236</v>
      </c>
      <c r="N28" s="23">
        <v>370</v>
      </c>
      <c r="O28" s="23">
        <f>(N28+10)*1.015*1.01</f>
        <v>389.557</v>
      </c>
      <c r="P28" s="6" t="s">
        <v>237</v>
      </c>
      <c r="Q28" s="23">
        <v>370</v>
      </c>
      <c r="R28" s="23">
        <f>(Q28+10)*1.015*1.01</f>
        <v>389.557</v>
      </c>
      <c r="S28" s="6" t="s">
        <v>237</v>
      </c>
      <c r="T28" s="23">
        <v>410</v>
      </c>
      <c r="U28" s="23">
        <f>(T28+10)*1.015*1.01</f>
        <v>430.56299999999993</v>
      </c>
      <c r="V28" s="159" t="s">
        <v>235</v>
      </c>
      <c r="W28" s="45">
        <v>17</v>
      </c>
      <c r="X28" s="175"/>
    </row>
    <row r="29" spans="1:22" ht="14.25" customHeight="1" hidden="1">
      <c r="A29" s="45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147"/>
      <c r="I29" s="26">
        <v>6.43</v>
      </c>
      <c r="J29" s="160" t="s">
        <v>165</v>
      </c>
      <c r="K29" s="161"/>
      <c r="L29" s="26">
        <v>6.43</v>
      </c>
      <c r="M29" s="168" t="s">
        <v>165</v>
      </c>
      <c r="N29" s="161"/>
      <c r="O29" s="26">
        <v>6.43</v>
      </c>
      <c r="P29" s="168" t="s">
        <v>165</v>
      </c>
      <c r="Q29" s="161"/>
      <c r="R29" s="26">
        <v>6.43</v>
      </c>
      <c r="S29" s="168" t="s">
        <v>165</v>
      </c>
      <c r="T29" s="161"/>
      <c r="U29" s="26">
        <v>6.43</v>
      </c>
      <c r="V29" s="168" t="s">
        <v>165</v>
      </c>
    </row>
    <row r="30" spans="1:22" ht="14.25" customHeight="1" hidden="1">
      <c r="A30" s="45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147"/>
      <c r="I30" s="26">
        <v>6.83</v>
      </c>
      <c r="J30" s="160" t="s">
        <v>165</v>
      </c>
      <c r="K30" s="161"/>
      <c r="L30" s="26">
        <v>6.83</v>
      </c>
      <c r="M30" s="160" t="s">
        <v>165</v>
      </c>
      <c r="N30" s="161"/>
      <c r="O30" s="26">
        <v>6.83</v>
      </c>
      <c r="P30" s="160" t="s">
        <v>165</v>
      </c>
      <c r="Q30" s="161"/>
      <c r="R30" s="26">
        <v>6.83</v>
      </c>
      <c r="S30" s="160" t="s">
        <v>165</v>
      </c>
      <c r="T30" s="161"/>
      <c r="U30" s="26">
        <v>6.83</v>
      </c>
      <c r="V30" s="160" t="s">
        <v>165</v>
      </c>
    </row>
    <row r="31" spans="1:22" ht="14.25" hidden="1">
      <c r="A31" s="45">
        <v>27</v>
      </c>
      <c r="B31" s="17"/>
      <c r="C31" s="10" t="s">
        <v>69</v>
      </c>
      <c r="D31" s="18"/>
      <c r="E31" s="26">
        <v>863</v>
      </c>
      <c r="F31" s="27" t="s">
        <v>70</v>
      </c>
      <c r="G31" s="148" t="s">
        <v>67</v>
      </c>
      <c r="H31" s="147"/>
      <c r="I31" s="26">
        <v>5.89</v>
      </c>
      <c r="J31" s="160" t="s">
        <v>165</v>
      </c>
      <c r="K31" s="147"/>
      <c r="L31" s="26">
        <v>5.89</v>
      </c>
      <c r="M31" s="160" t="s">
        <v>165</v>
      </c>
      <c r="N31" s="147"/>
      <c r="O31" s="26">
        <v>5.89</v>
      </c>
      <c r="P31" s="160" t="s">
        <v>165</v>
      </c>
      <c r="Q31" s="147"/>
      <c r="R31" s="26">
        <v>5.89</v>
      </c>
      <c r="S31" s="160" t="s">
        <v>165</v>
      </c>
      <c r="T31" s="147"/>
      <c r="U31" s="26">
        <v>5.89</v>
      </c>
      <c r="V31" s="160" t="s">
        <v>165</v>
      </c>
    </row>
    <row r="32" spans="1:24" s="106" customFormat="1" ht="21.7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2"/>
    </row>
    <row r="33" spans="1:24" s="106" customFormat="1" ht="12.75">
      <c r="A33" s="104"/>
      <c r="C33" s="104"/>
      <c r="D33" s="78"/>
      <c r="E33" s="104"/>
      <c r="F33" s="7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3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43" t="s">
        <v>239</v>
      </c>
      <c r="I34" s="151"/>
      <c r="J34" s="152"/>
      <c r="K34" s="143" t="s">
        <v>240</v>
      </c>
      <c r="L34" s="153"/>
      <c r="M34" s="162"/>
      <c r="N34" s="143" t="s">
        <v>241</v>
      </c>
      <c r="O34" s="153"/>
      <c r="P34" s="162"/>
      <c r="Q34" s="136" t="s">
        <v>77</v>
      </c>
      <c r="R34" s="136" t="s">
        <v>78</v>
      </c>
      <c r="S34" s="43" t="s">
        <v>80</v>
      </c>
    </row>
    <row r="35" spans="1:19" ht="24">
      <c r="A35" s="139"/>
      <c r="B35" s="139"/>
      <c r="C35" s="140"/>
      <c r="D35" s="141"/>
      <c r="E35" s="139"/>
      <c r="F35" s="139"/>
      <c r="G35" s="139"/>
      <c r="H35" s="43" t="s">
        <v>14</v>
      </c>
      <c r="I35" s="43" t="s">
        <v>15</v>
      </c>
      <c r="J35" s="43" t="s">
        <v>106</v>
      </c>
      <c r="K35" s="43" t="s">
        <v>14</v>
      </c>
      <c r="L35" s="43" t="s">
        <v>15</v>
      </c>
      <c r="M35" s="43" t="s">
        <v>106</v>
      </c>
      <c r="N35" s="43" t="s">
        <v>14</v>
      </c>
      <c r="O35" s="43" t="s">
        <v>15</v>
      </c>
      <c r="P35" s="43" t="s">
        <v>106</v>
      </c>
      <c r="Q35" s="139"/>
      <c r="R35" s="139"/>
      <c r="S35" s="43"/>
    </row>
    <row r="36" spans="1:24" s="2" customFormat="1" ht="24.75" customHeight="1">
      <c r="A36" s="142">
        <v>1</v>
      </c>
      <c r="B36" s="6" t="s">
        <v>16</v>
      </c>
      <c r="C36" s="6" t="s">
        <v>17</v>
      </c>
      <c r="D36" s="8" t="s">
        <v>18</v>
      </c>
      <c r="E36" s="9" t="s">
        <v>19</v>
      </c>
      <c r="F36" s="21" t="s">
        <v>20</v>
      </c>
      <c r="G36" s="44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2" t="e">
        <f aca="true" t="shared" si="1" ref="Q36:R51">AVERAGE(H5,K5,N5,Q5,T5,H36,K36,N36)</f>
        <v>#REF!</v>
      </c>
      <c r="R36" s="82" t="e">
        <f t="shared" si="1"/>
        <v>#REF!</v>
      </c>
      <c r="S36" s="44">
        <v>17</v>
      </c>
      <c r="X36" s="176"/>
    </row>
    <row r="37" spans="1:19" ht="25.5">
      <c r="A37" s="139">
        <v>2</v>
      </c>
      <c r="B37" s="9"/>
      <c r="C37" s="9"/>
      <c r="D37" s="10" t="s">
        <v>22</v>
      </c>
      <c r="E37" s="9"/>
      <c r="F37" s="10" t="s">
        <v>23</v>
      </c>
      <c r="G37" s="45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0" t="e">
        <f t="shared" si="1"/>
        <v>#REF!</v>
      </c>
      <c r="R37" s="170" t="e">
        <f t="shared" si="1"/>
        <v>#REF!</v>
      </c>
      <c r="S37" s="45">
        <v>17</v>
      </c>
    </row>
    <row r="38" spans="1:19" ht="14.25">
      <c r="A38" s="139">
        <v>3</v>
      </c>
      <c r="B38" s="9"/>
      <c r="C38" s="9"/>
      <c r="D38" s="10" t="s">
        <v>24</v>
      </c>
      <c r="E38" s="9"/>
      <c r="F38" s="10" t="s">
        <v>25</v>
      </c>
      <c r="G38" s="45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0" t="e">
        <f t="shared" si="1"/>
        <v>#REF!</v>
      </c>
      <c r="R38" s="170" t="e">
        <f t="shared" si="1"/>
        <v>#REF!</v>
      </c>
      <c r="S38" s="45">
        <v>17</v>
      </c>
    </row>
    <row r="39" spans="1:24" s="2" customFormat="1" ht="38.25">
      <c r="A39" s="142">
        <v>4</v>
      </c>
      <c r="B39" s="9"/>
      <c r="C39" s="6" t="s">
        <v>26</v>
      </c>
      <c r="D39" s="11" t="s">
        <v>27</v>
      </c>
      <c r="E39" s="9">
        <v>112</v>
      </c>
      <c r="F39" s="21" t="s">
        <v>28</v>
      </c>
      <c r="G39" s="44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2" t="e">
        <f t="shared" si="1"/>
        <v>#REF!</v>
      </c>
      <c r="R39" s="82" t="e">
        <f t="shared" si="1"/>
        <v>#REF!</v>
      </c>
      <c r="S39" s="44">
        <v>17</v>
      </c>
      <c r="X39" s="176"/>
    </row>
    <row r="40" spans="1:19" ht="14.25">
      <c r="A40" s="139">
        <v>5</v>
      </c>
      <c r="B40" s="9"/>
      <c r="C40" s="9"/>
      <c r="D40" s="10" t="s">
        <v>29</v>
      </c>
      <c r="E40" s="9"/>
      <c r="F40" s="10" t="s">
        <v>30</v>
      </c>
      <c r="G40" s="45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0" t="e">
        <f t="shared" si="1"/>
        <v>#REF!</v>
      </c>
      <c r="R40" s="170" t="e">
        <f t="shared" si="1"/>
        <v>#REF!</v>
      </c>
      <c r="S40" s="45">
        <v>17</v>
      </c>
    </row>
    <row r="41" spans="1:19" ht="14.25">
      <c r="A41" s="139">
        <v>6</v>
      </c>
      <c r="B41" s="9"/>
      <c r="C41" s="9"/>
      <c r="D41" s="10" t="s">
        <v>29</v>
      </c>
      <c r="E41" s="9"/>
      <c r="F41" s="10" t="s">
        <v>31</v>
      </c>
      <c r="G41" s="45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0" t="e">
        <f t="shared" si="1"/>
        <v>#REF!</v>
      </c>
      <c r="R41" s="170" t="e">
        <f t="shared" si="1"/>
        <v>#REF!</v>
      </c>
      <c r="S41" s="45">
        <v>17</v>
      </c>
    </row>
    <row r="42" spans="1:19" ht="14.25">
      <c r="A42" s="139">
        <v>7</v>
      </c>
      <c r="B42" s="9"/>
      <c r="C42" s="9"/>
      <c r="D42" s="10" t="s">
        <v>29</v>
      </c>
      <c r="E42" s="9"/>
      <c r="F42" s="10" t="s">
        <v>32</v>
      </c>
      <c r="G42" s="45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0" t="e">
        <f t="shared" si="1"/>
        <v>#REF!</v>
      </c>
      <c r="R42" s="170" t="e">
        <f t="shared" si="1"/>
        <v>#REF!</v>
      </c>
      <c r="S42" s="45">
        <v>17</v>
      </c>
    </row>
    <row r="43" spans="1:19" ht="14.25">
      <c r="A43" s="139">
        <v>8</v>
      </c>
      <c r="B43" s="9"/>
      <c r="C43" s="9"/>
      <c r="D43" s="10" t="s">
        <v>29</v>
      </c>
      <c r="E43" s="9"/>
      <c r="F43" s="10" t="s">
        <v>33</v>
      </c>
      <c r="G43" s="45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0" t="e">
        <f t="shared" si="1"/>
        <v>#REF!</v>
      </c>
      <c r="R43" s="170" t="e">
        <f t="shared" si="1"/>
        <v>#REF!</v>
      </c>
      <c r="S43" s="45">
        <v>17</v>
      </c>
    </row>
    <row r="44" spans="1:24" s="2" customFormat="1" ht="25.5">
      <c r="A44" s="142">
        <v>9</v>
      </c>
      <c r="B44" s="9"/>
      <c r="C44" s="6" t="s">
        <v>34</v>
      </c>
      <c r="D44" s="11" t="s">
        <v>35</v>
      </c>
      <c r="E44" s="9">
        <v>182</v>
      </c>
      <c r="F44" s="21" t="s">
        <v>36</v>
      </c>
      <c r="G44" s="44" t="s">
        <v>21</v>
      </c>
      <c r="H44" s="83"/>
      <c r="I44" s="83"/>
      <c r="J44" s="83"/>
      <c r="K44" s="83"/>
      <c r="L44" s="83"/>
      <c r="M44" s="83"/>
      <c r="N44" s="83"/>
      <c r="O44" s="83"/>
      <c r="P44" s="83"/>
      <c r="Q44" s="82" t="e">
        <f t="shared" si="1"/>
        <v>#REF!</v>
      </c>
      <c r="R44" s="82" t="e">
        <f t="shared" si="1"/>
        <v>#REF!</v>
      </c>
      <c r="S44" s="45">
        <v>17</v>
      </c>
      <c r="X44" s="176"/>
    </row>
    <row r="45" spans="1:19" ht="14.25">
      <c r="A45" s="139">
        <v>10</v>
      </c>
      <c r="B45" s="9"/>
      <c r="C45" s="9"/>
      <c r="D45" s="10" t="s">
        <v>37</v>
      </c>
      <c r="E45" s="9"/>
      <c r="F45" s="13" t="s">
        <v>38</v>
      </c>
      <c r="G45" s="45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0" t="e">
        <f t="shared" si="1"/>
        <v>#REF!</v>
      </c>
      <c r="R45" s="170" t="e">
        <f t="shared" si="1"/>
        <v>#REF!</v>
      </c>
      <c r="S45" s="45">
        <v>17</v>
      </c>
    </row>
    <row r="46" spans="1:19" ht="14.25">
      <c r="A46" s="139">
        <v>11</v>
      </c>
      <c r="B46" s="9"/>
      <c r="C46" s="9"/>
      <c r="D46" s="10" t="s">
        <v>39</v>
      </c>
      <c r="E46" s="9"/>
      <c r="F46" s="13" t="s">
        <v>40</v>
      </c>
      <c r="G46" s="45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0" t="e">
        <f t="shared" si="1"/>
        <v>#REF!</v>
      </c>
      <c r="R46" s="170" t="e">
        <f t="shared" si="1"/>
        <v>#REF!</v>
      </c>
      <c r="S46" s="45">
        <v>17</v>
      </c>
    </row>
    <row r="47" spans="1:19" ht="14.25">
      <c r="A47" s="139">
        <v>12</v>
      </c>
      <c r="B47" s="9"/>
      <c r="C47" s="9"/>
      <c r="D47" s="10" t="s">
        <v>41</v>
      </c>
      <c r="E47" s="9"/>
      <c r="F47" s="13" t="s">
        <v>42</v>
      </c>
      <c r="G47" s="45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0" t="e">
        <f t="shared" si="1"/>
        <v>#REF!</v>
      </c>
      <c r="R47" s="170" t="e">
        <f t="shared" si="1"/>
        <v>#REF!</v>
      </c>
      <c r="S47" s="45">
        <v>17</v>
      </c>
    </row>
    <row r="48" spans="1:19" ht="14.25">
      <c r="A48" s="139">
        <v>13</v>
      </c>
      <c r="B48" s="9"/>
      <c r="C48" s="6" t="s">
        <v>43</v>
      </c>
      <c r="D48" s="9"/>
      <c r="E48" s="9">
        <v>183</v>
      </c>
      <c r="F48" s="13" t="s">
        <v>44</v>
      </c>
      <c r="G48" s="45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0" t="e">
        <f t="shared" si="1"/>
        <v>#REF!</v>
      </c>
      <c r="R48" s="170" t="e">
        <f t="shared" si="1"/>
        <v>#REF!</v>
      </c>
      <c r="S48" s="45">
        <v>17</v>
      </c>
    </row>
    <row r="49" spans="1:24" s="2" customFormat="1" ht="36.75">
      <c r="A49" s="142">
        <v>14</v>
      </c>
      <c r="B49" s="9"/>
      <c r="C49" s="6" t="s">
        <v>45</v>
      </c>
      <c r="D49" s="11" t="s">
        <v>46</v>
      </c>
      <c r="E49" s="25"/>
      <c r="F49" s="21" t="s">
        <v>47</v>
      </c>
      <c r="G49" s="44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2" t="e">
        <f t="shared" si="1"/>
        <v>#REF!</v>
      </c>
      <c r="R49" s="82" t="e">
        <f t="shared" si="1"/>
        <v>#REF!</v>
      </c>
      <c r="S49" s="45">
        <v>17</v>
      </c>
      <c r="X49" s="176"/>
    </row>
    <row r="50" spans="1:19" ht="14.25">
      <c r="A50" s="139">
        <v>15</v>
      </c>
      <c r="B50" s="9"/>
      <c r="C50" s="9"/>
      <c r="D50" s="10" t="s">
        <v>48</v>
      </c>
      <c r="E50" s="25"/>
      <c r="F50" s="10" t="s">
        <v>49</v>
      </c>
      <c r="G50" s="45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0" t="e">
        <f t="shared" si="1"/>
        <v>#REF!</v>
      </c>
      <c r="R50" s="170" t="e">
        <f t="shared" si="1"/>
        <v>#REF!</v>
      </c>
      <c r="S50" s="45">
        <v>17</v>
      </c>
    </row>
    <row r="51" spans="1:19" ht="14.25">
      <c r="A51" s="139">
        <v>16</v>
      </c>
      <c r="B51" s="9"/>
      <c r="C51" s="9"/>
      <c r="D51" s="10" t="s">
        <v>50</v>
      </c>
      <c r="E51" s="25">
        <v>192</v>
      </c>
      <c r="F51" s="10" t="s">
        <v>51</v>
      </c>
      <c r="G51" s="45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0" t="e">
        <f t="shared" si="1"/>
        <v>#REF!</v>
      </c>
      <c r="R51" s="170" t="e">
        <f t="shared" si="1"/>
        <v>#REF!</v>
      </c>
      <c r="S51" s="45">
        <v>17</v>
      </c>
    </row>
    <row r="52" spans="1:19" ht="14.25">
      <c r="A52" s="139">
        <v>17</v>
      </c>
      <c r="B52" s="9"/>
      <c r="C52" s="9"/>
      <c r="D52" s="10" t="s">
        <v>52</v>
      </c>
      <c r="E52" s="25">
        <v>191</v>
      </c>
      <c r="F52" s="10" t="s">
        <v>53</v>
      </c>
      <c r="G52" s="45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0" t="e">
        <f aca="true" t="shared" si="2" ref="Q52:R62">AVERAGE(H21,K21,N21,Q21,T21,H52,K52,N52)</f>
        <v>#REF!</v>
      </c>
      <c r="R52" s="170" t="e">
        <f t="shared" si="2"/>
        <v>#REF!</v>
      </c>
      <c r="S52" s="45">
        <v>17</v>
      </c>
    </row>
    <row r="53" spans="1:19" ht="14.25" customHeight="1">
      <c r="A53" s="139">
        <v>18</v>
      </c>
      <c r="B53" s="9"/>
      <c r="C53" s="10" t="s">
        <v>54</v>
      </c>
      <c r="D53" s="13"/>
      <c r="E53" s="9">
        <v>121</v>
      </c>
      <c r="F53" s="13"/>
      <c r="G53" s="45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0" t="e">
        <f t="shared" si="2"/>
        <v>#REF!</v>
      </c>
      <c r="R53" s="170" t="e">
        <f t="shared" si="2"/>
        <v>#REF!</v>
      </c>
      <c r="S53" s="45">
        <v>17</v>
      </c>
    </row>
    <row r="54" spans="1:19" ht="14.25" customHeight="1">
      <c r="A54" s="139">
        <v>19</v>
      </c>
      <c r="B54" s="9"/>
      <c r="C54" s="10" t="s">
        <v>55</v>
      </c>
      <c r="D54" s="13"/>
      <c r="E54" s="9">
        <v>125</v>
      </c>
      <c r="F54" s="10" t="s">
        <v>56</v>
      </c>
      <c r="G54" s="45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0" t="e">
        <f t="shared" si="2"/>
        <v>#REF!</v>
      </c>
      <c r="R54" s="170" t="e">
        <f t="shared" si="2"/>
        <v>#REF!</v>
      </c>
      <c r="S54" s="45">
        <v>17</v>
      </c>
    </row>
    <row r="55" spans="1:24" s="2" customFormat="1" ht="25.5" customHeight="1">
      <c r="A55" s="142">
        <v>20</v>
      </c>
      <c r="B55" s="6" t="s">
        <v>57</v>
      </c>
      <c r="C55" s="11" t="s">
        <v>58</v>
      </c>
      <c r="D55" s="14"/>
      <c r="E55" s="7"/>
      <c r="F55" s="21" t="s">
        <v>59</v>
      </c>
      <c r="G55" s="44" t="s">
        <v>21</v>
      </c>
      <c r="H55" s="83">
        <f aca="true" t="shared" si="3" ref="H55:O55">H57*0.75+H59*0.25</f>
        <v>340</v>
      </c>
      <c r="I55" s="83">
        <f t="shared" si="3"/>
        <v>358.8025</v>
      </c>
      <c r="J55" s="83" t="s">
        <v>109</v>
      </c>
      <c r="K55" s="83">
        <f t="shared" si="3"/>
        <v>350</v>
      </c>
      <c r="L55" s="83">
        <f t="shared" si="3"/>
        <v>369.054</v>
      </c>
      <c r="M55" s="6" t="s">
        <v>109</v>
      </c>
      <c r="N55" s="83">
        <f t="shared" si="3"/>
        <v>337.5</v>
      </c>
      <c r="O55" s="83">
        <f t="shared" si="3"/>
        <v>356.239625</v>
      </c>
      <c r="P55" s="149" t="s">
        <v>109</v>
      </c>
      <c r="Q55" s="82">
        <f t="shared" si="2"/>
        <v>345.46875</v>
      </c>
      <c r="R55" s="82">
        <f t="shared" si="2"/>
        <v>364.4087890625</v>
      </c>
      <c r="S55" s="45">
        <v>17</v>
      </c>
      <c r="X55" s="176"/>
    </row>
    <row r="56" spans="1:19" ht="14.25" customHeight="1">
      <c r="A56" s="139">
        <v>21</v>
      </c>
      <c r="B56" s="9"/>
      <c r="C56" s="13" t="s">
        <v>60</v>
      </c>
      <c r="D56" s="13"/>
      <c r="E56" s="9">
        <v>832</v>
      </c>
      <c r="F56" s="10" t="s">
        <v>61</v>
      </c>
      <c r="G56" s="45" t="s">
        <v>21</v>
      </c>
      <c r="H56" s="23">
        <v>345</v>
      </c>
      <c r="I56" s="23">
        <f>(H56+10)*1.015*1.01</f>
        <v>363.92825</v>
      </c>
      <c r="J56" s="6" t="s">
        <v>237</v>
      </c>
      <c r="K56" s="23">
        <v>345</v>
      </c>
      <c r="L56" s="23">
        <f>(K56+10)*1.015*1.01</f>
        <v>363.92825</v>
      </c>
      <c r="M56" s="6" t="s">
        <v>236</v>
      </c>
      <c r="N56" s="23">
        <v>345</v>
      </c>
      <c r="O56" s="169">
        <f>(N56+10)*1.015*1.01</f>
        <v>363.92825</v>
      </c>
      <c r="P56" s="6" t="s">
        <v>236</v>
      </c>
      <c r="Q56" s="23">
        <f t="shared" si="2"/>
        <v>348.125</v>
      </c>
      <c r="R56" s="23">
        <f t="shared" si="2"/>
        <v>367.13184375</v>
      </c>
      <c r="S56" s="45">
        <v>17</v>
      </c>
    </row>
    <row r="57" spans="1:19" ht="14.25" customHeight="1">
      <c r="A57" s="139">
        <v>22</v>
      </c>
      <c r="B57" s="9"/>
      <c r="C57" s="13" t="s">
        <v>60</v>
      </c>
      <c r="D57" s="13"/>
      <c r="E57" s="9"/>
      <c r="F57" s="10" t="s">
        <v>62</v>
      </c>
      <c r="G57" s="45" t="s">
        <v>21</v>
      </c>
      <c r="H57" s="23">
        <v>330</v>
      </c>
      <c r="I57" s="23">
        <f>(H57+10)*1.015*1.01</f>
        <v>348.551</v>
      </c>
      <c r="J57" s="6" t="s">
        <v>237</v>
      </c>
      <c r="K57" s="23">
        <v>330</v>
      </c>
      <c r="L57" s="23">
        <f>(K57+10)*1.015*1.01</f>
        <v>348.551</v>
      </c>
      <c r="M57" s="6" t="s">
        <v>236</v>
      </c>
      <c r="N57" s="23">
        <v>330</v>
      </c>
      <c r="O57" s="169">
        <f>(N57+10)*1.015*1.01</f>
        <v>348.551</v>
      </c>
      <c r="P57" s="6" t="s">
        <v>236</v>
      </c>
      <c r="Q57" s="23">
        <f t="shared" si="2"/>
        <v>333.125</v>
      </c>
      <c r="R57" s="23">
        <f t="shared" si="2"/>
        <v>351.75459374999997</v>
      </c>
      <c r="S57" s="45">
        <v>17</v>
      </c>
    </row>
    <row r="58" spans="1:19" ht="14.25" customHeight="1">
      <c r="A58" s="139">
        <v>23</v>
      </c>
      <c r="B58" s="9"/>
      <c r="C58" s="13" t="s">
        <v>63</v>
      </c>
      <c r="D58" s="13"/>
      <c r="E58" s="9">
        <v>833</v>
      </c>
      <c r="F58" s="10" t="s">
        <v>61</v>
      </c>
      <c r="G58" s="45" t="s">
        <v>21</v>
      </c>
      <c r="H58" s="23">
        <v>385</v>
      </c>
      <c r="I58" s="23">
        <f>(H58+10)*1.015*1.01</f>
        <v>404.93424999999996</v>
      </c>
      <c r="J58" s="6" t="s">
        <v>237</v>
      </c>
      <c r="K58" s="23">
        <v>425</v>
      </c>
      <c r="L58" s="23">
        <f>(K58+10)*1.015*1.01</f>
        <v>445.94025</v>
      </c>
      <c r="M58" s="6" t="s">
        <v>235</v>
      </c>
      <c r="N58" s="23">
        <v>385</v>
      </c>
      <c r="O58" s="169">
        <f>(N58+10)*1.015*1.01</f>
        <v>404.93424999999996</v>
      </c>
      <c r="P58" s="6" t="s">
        <v>236</v>
      </c>
      <c r="Q58" s="23">
        <f>AVERAGE(H27,K27,N27,Q27,T27,H58,K58,N58)</f>
        <v>399.375</v>
      </c>
      <c r="R58" s="23">
        <f t="shared" si="2"/>
        <v>419.67078124999995</v>
      </c>
      <c r="S58" s="45">
        <v>17</v>
      </c>
    </row>
    <row r="59" spans="1:19" ht="14.25" customHeight="1">
      <c r="A59" s="139">
        <v>24</v>
      </c>
      <c r="B59" s="9"/>
      <c r="C59" s="13" t="s">
        <v>63</v>
      </c>
      <c r="D59" s="13"/>
      <c r="E59" s="9"/>
      <c r="F59" s="10" t="s">
        <v>62</v>
      </c>
      <c r="G59" s="45" t="s">
        <v>21</v>
      </c>
      <c r="H59" s="23">
        <v>370</v>
      </c>
      <c r="I59" s="23">
        <f>(H59+10)*1.015*1.01</f>
        <v>389.557</v>
      </c>
      <c r="J59" s="6" t="s">
        <v>237</v>
      </c>
      <c r="K59" s="23">
        <v>410</v>
      </c>
      <c r="L59" s="23">
        <f>(K59+10)*1.015*1.01</f>
        <v>430.56299999999993</v>
      </c>
      <c r="M59" s="6" t="s">
        <v>235</v>
      </c>
      <c r="N59" s="23">
        <v>360</v>
      </c>
      <c r="O59" s="169">
        <f>(N59+10)*1.015*1.01</f>
        <v>379.30549999999994</v>
      </c>
      <c r="P59" s="6" t="s">
        <v>236</v>
      </c>
      <c r="Q59" s="23">
        <f>AVERAGE(H28,K28,N28,Q28,T28,H59,K59,N59)</f>
        <v>382.5</v>
      </c>
      <c r="R59" s="23">
        <f t="shared" si="2"/>
        <v>402.371375</v>
      </c>
      <c r="S59" s="45">
        <v>17</v>
      </c>
    </row>
    <row r="60" spans="1:18" ht="14.25" customHeight="1" hidden="1">
      <c r="A60" s="45">
        <v>25</v>
      </c>
      <c r="B60" s="6" t="s">
        <v>64</v>
      </c>
      <c r="C60" s="15" t="s">
        <v>65</v>
      </c>
      <c r="D60" s="16"/>
      <c r="E60" s="26"/>
      <c r="F60" s="27" t="s">
        <v>66</v>
      </c>
      <c r="G60" s="26" t="s">
        <v>67</v>
      </c>
      <c r="H60" s="147"/>
      <c r="I60" s="26">
        <v>6.43</v>
      </c>
      <c r="J60" s="160" t="s">
        <v>165</v>
      </c>
      <c r="K60" s="147"/>
      <c r="L60" s="26">
        <v>6.43</v>
      </c>
      <c r="M60" s="160" t="s">
        <v>165</v>
      </c>
      <c r="N60" s="147"/>
      <c r="O60" s="26">
        <v>6.43</v>
      </c>
      <c r="P60" s="160" t="s">
        <v>165</v>
      </c>
      <c r="Q60" s="23" t="e">
        <f t="shared" si="2"/>
        <v>#DIV/0!</v>
      </c>
      <c r="R60" s="171">
        <f t="shared" si="2"/>
        <v>6.43</v>
      </c>
    </row>
    <row r="61" spans="1:18" ht="14.25" customHeight="1" hidden="1">
      <c r="A61" s="45">
        <v>26</v>
      </c>
      <c r="B61" s="6"/>
      <c r="C61" s="15" t="s">
        <v>65</v>
      </c>
      <c r="D61" s="16"/>
      <c r="E61" s="26">
        <v>862</v>
      </c>
      <c r="F61" s="27" t="s">
        <v>68</v>
      </c>
      <c r="G61" s="26" t="s">
        <v>67</v>
      </c>
      <c r="H61" s="147"/>
      <c r="I61" s="26">
        <v>6.83</v>
      </c>
      <c r="J61" s="160" t="s">
        <v>165</v>
      </c>
      <c r="K61" s="147"/>
      <c r="L61" s="26">
        <v>6.83</v>
      </c>
      <c r="M61" s="160" t="s">
        <v>165</v>
      </c>
      <c r="N61" s="147"/>
      <c r="O61" s="26">
        <v>6.83</v>
      </c>
      <c r="P61" s="160" t="s">
        <v>165</v>
      </c>
      <c r="Q61" s="23" t="e">
        <f t="shared" si="2"/>
        <v>#DIV/0!</v>
      </c>
      <c r="R61" s="171">
        <f t="shared" si="2"/>
        <v>6.829999999999999</v>
      </c>
    </row>
    <row r="62" spans="1:18" ht="14.25" customHeight="1" hidden="1">
      <c r="A62" s="45">
        <v>27</v>
      </c>
      <c r="B62" s="17"/>
      <c r="C62" s="10" t="s">
        <v>69</v>
      </c>
      <c r="D62" s="18"/>
      <c r="E62" s="26">
        <v>863</v>
      </c>
      <c r="F62" s="27" t="s">
        <v>70</v>
      </c>
      <c r="G62" s="148" t="s">
        <v>67</v>
      </c>
      <c r="H62" s="147"/>
      <c r="I62" s="26">
        <v>5.89</v>
      </c>
      <c r="J62" s="160" t="s">
        <v>165</v>
      </c>
      <c r="K62" s="147"/>
      <c r="L62" s="26">
        <v>5.89</v>
      </c>
      <c r="M62" s="160" t="s">
        <v>165</v>
      </c>
      <c r="N62" s="147"/>
      <c r="O62" s="26">
        <v>5.89</v>
      </c>
      <c r="P62" s="160" t="s">
        <v>165</v>
      </c>
      <c r="Q62" s="23" t="e">
        <f t="shared" si="2"/>
        <v>#DIV/0!</v>
      </c>
      <c r="R62" s="171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19"/>
      <c r="C2" s="19"/>
      <c r="D2" s="19"/>
      <c r="E2" s="19"/>
      <c r="F2" s="19"/>
      <c r="G2" s="117"/>
      <c r="H2" s="117"/>
      <c r="I2" s="117"/>
      <c r="J2" s="117"/>
      <c r="K2" s="117"/>
      <c r="L2" s="117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22" s="63" customFormat="1" ht="14.25" customHeight="1">
      <c r="A3" s="70" t="s">
        <v>2</v>
      </c>
      <c r="B3" s="46" t="s">
        <v>3</v>
      </c>
      <c r="C3" s="71" t="s">
        <v>4</v>
      </c>
      <c r="D3" s="72"/>
      <c r="E3" s="70" t="s">
        <v>245</v>
      </c>
      <c r="F3" s="46" t="s">
        <v>6</v>
      </c>
      <c r="G3" s="70" t="s">
        <v>7</v>
      </c>
      <c r="H3" s="118" t="s">
        <v>246</v>
      </c>
      <c r="I3" s="89"/>
      <c r="J3" s="90"/>
      <c r="K3" s="86" t="s">
        <v>247</v>
      </c>
      <c r="L3" s="89"/>
      <c r="M3" s="90"/>
      <c r="N3" s="86" t="s">
        <v>248</v>
      </c>
      <c r="O3" s="89"/>
      <c r="P3" s="90"/>
      <c r="Q3" s="86" t="s">
        <v>249</v>
      </c>
      <c r="R3" s="89"/>
      <c r="S3" s="90"/>
      <c r="T3" s="86" t="s">
        <v>250</v>
      </c>
      <c r="U3" s="89"/>
      <c r="V3" s="90"/>
    </row>
    <row r="4" spans="1:26" s="63" customFormat="1" ht="18" customHeight="1">
      <c r="A4" s="73"/>
      <c r="B4" s="53"/>
      <c r="C4" s="74"/>
      <c r="D4" s="75"/>
      <c r="E4" s="73"/>
      <c r="F4" s="53"/>
      <c r="G4" s="73"/>
      <c r="H4" s="119" t="s">
        <v>14</v>
      </c>
      <c r="I4" s="80" t="s">
        <v>15</v>
      </c>
      <c r="J4" s="80" t="s">
        <v>106</v>
      </c>
      <c r="K4" s="80" t="s">
        <v>14</v>
      </c>
      <c r="L4" s="80" t="s">
        <v>15</v>
      </c>
      <c r="M4" s="80" t="s">
        <v>106</v>
      </c>
      <c r="N4" s="80" t="s">
        <v>14</v>
      </c>
      <c r="O4" s="80" t="s">
        <v>15</v>
      </c>
      <c r="P4" s="80" t="s">
        <v>106</v>
      </c>
      <c r="Q4" s="80" t="s">
        <v>14</v>
      </c>
      <c r="R4" s="80" t="s">
        <v>15</v>
      </c>
      <c r="S4" s="80" t="s">
        <v>106</v>
      </c>
      <c r="T4" s="80" t="s">
        <v>14</v>
      </c>
      <c r="U4" s="80" t="s">
        <v>15</v>
      </c>
      <c r="V4" s="80" t="s">
        <v>106</v>
      </c>
      <c r="X4" s="6" t="s">
        <v>14</v>
      </c>
      <c r="Y4" s="6" t="s">
        <v>15</v>
      </c>
      <c r="Z4" s="6" t="s">
        <v>106</v>
      </c>
    </row>
    <row r="5" spans="1:26" s="61" customFormat="1" ht="23.25" customHeight="1">
      <c r="A5" s="73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81" t="s">
        <v>21</v>
      </c>
      <c r="H5" s="55" t="e">
        <f>H6*0.8+H7*0.2</f>
        <v>#REF!</v>
      </c>
      <c r="I5" s="55" t="e">
        <f>I6*0.8+I7*0.2</f>
        <v>#REF!</v>
      </c>
      <c r="J5" s="29"/>
      <c r="K5" s="22"/>
      <c r="L5" s="22"/>
      <c r="M5" s="55"/>
      <c r="N5" s="55"/>
      <c r="O5" s="22"/>
      <c r="P5" s="29"/>
      <c r="Q5" s="55"/>
      <c r="R5" s="22"/>
      <c r="S5" s="29"/>
      <c r="T5" s="125"/>
      <c r="U5" s="22"/>
      <c r="V5" s="125"/>
      <c r="W5" s="132"/>
      <c r="X5" s="55">
        <f>X6*0.8+X7*0.2</f>
        <v>6038.200000000001</v>
      </c>
      <c r="Y5" s="55">
        <f>Y6*0.8+Y7*0.2</f>
        <v>4140</v>
      </c>
      <c r="Z5" s="29"/>
    </row>
    <row r="6" spans="1:26" s="63" customFormat="1" ht="27" customHeight="1">
      <c r="A6" s="73">
        <v>2</v>
      </c>
      <c r="B6" s="9"/>
      <c r="C6" s="9"/>
      <c r="D6" s="10" t="s">
        <v>22</v>
      </c>
      <c r="E6" s="9"/>
      <c r="F6" s="10" t="s">
        <v>23</v>
      </c>
      <c r="G6" s="77" t="s">
        <v>21</v>
      </c>
      <c r="H6" s="58" t="e">
        <f>#REF!+135</f>
        <v>#REF!</v>
      </c>
      <c r="I6" s="58" t="e">
        <f>(H6+27)*1.015</f>
        <v>#REF!</v>
      </c>
      <c r="J6" s="31"/>
      <c r="K6" s="23"/>
      <c r="L6" s="23"/>
      <c r="M6" s="34"/>
      <c r="N6" s="55"/>
      <c r="O6" s="23"/>
      <c r="P6" s="34"/>
      <c r="Q6" s="58"/>
      <c r="R6" s="23"/>
      <c r="S6" s="34"/>
      <c r="T6" s="126"/>
      <c r="U6" s="23"/>
      <c r="V6" s="126"/>
      <c r="W6" s="132"/>
      <c r="X6" s="58">
        <v>6083</v>
      </c>
      <c r="Y6" s="23">
        <v>4203</v>
      </c>
      <c r="Z6" s="102" t="s">
        <v>89</v>
      </c>
    </row>
    <row r="7" spans="1:26" s="63" customFormat="1" ht="15" customHeight="1">
      <c r="A7" s="73">
        <v>3</v>
      </c>
      <c r="B7" s="9"/>
      <c r="C7" s="9"/>
      <c r="D7" s="10" t="s">
        <v>24</v>
      </c>
      <c r="E7" s="9"/>
      <c r="F7" s="10" t="s">
        <v>25</v>
      </c>
      <c r="G7" s="77" t="s">
        <v>21</v>
      </c>
      <c r="H7" s="58">
        <v>2146</v>
      </c>
      <c r="I7" s="58">
        <f>(H7+27)*1.015</f>
        <v>2205.595</v>
      </c>
      <c r="J7" s="32" t="s">
        <v>89</v>
      </c>
      <c r="K7" s="23"/>
      <c r="L7" s="23"/>
      <c r="M7" s="34"/>
      <c r="N7" s="55"/>
      <c r="O7" s="23"/>
      <c r="P7" s="34"/>
      <c r="Q7" s="58"/>
      <c r="R7" s="23"/>
      <c r="S7" s="34"/>
      <c r="T7" s="126"/>
      <c r="U7" s="23"/>
      <c r="V7" s="126"/>
      <c r="W7" s="132"/>
      <c r="X7" s="58">
        <v>5859</v>
      </c>
      <c r="Y7" s="23">
        <v>3888</v>
      </c>
      <c r="Z7" s="102" t="s">
        <v>89</v>
      </c>
    </row>
    <row r="8" spans="1:26" s="61" customFormat="1" ht="37.5" customHeight="1">
      <c r="A8" s="73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81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3"/>
      <c r="K8" s="55"/>
      <c r="L8" s="22"/>
      <c r="M8" s="34"/>
      <c r="N8" s="55"/>
      <c r="O8" s="22"/>
      <c r="P8" s="29"/>
      <c r="Q8" s="55"/>
      <c r="R8" s="22"/>
      <c r="S8" s="29"/>
      <c r="T8" s="125"/>
      <c r="U8" s="125"/>
      <c r="V8" s="125"/>
      <c r="W8" s="132"/>
      <c r="X8" s="55">
        <f>X9*0.03+X10*0.38+X11*0.27+X12*0.32</f>
        <v>5697.14</v>
      </c>
      <c r="Y8" s="22">
        <f>X8-H8</f>
        <v>3665.44</v>
      </c>
      <c r="Z8" s="29"/>
    </row>
    <row r="9" spans="1:26" s="63" customFormat="1" ht="15" customHeight="1">
      <c r="A9" s="73">
        <v>5</v>
      </c>
      <c r="B9" s="9"/>
      <c r="C9" s="9"/>
      <c r="D9" s="12" t="s">
        <v>29</v>
      </c>
      <c r="E9" s="9"/>
      <c r="F9" s="10" t="s">
        <v>30</v>
      </c>
      <c r="G9" s="77" t="s">
        <v>21</v>
      </c>
      <c r="H9" s="58">
        <v>2198</v>
      </c>
      <c r="I9" s="58">
        <f>(H9+27)*1.015</f>
        <v>2258.375</v>
      </c>
      <c r="J9" s="32" t="s">
        <v>90</v>
      </c>
      <c r="K9" s="23"/>
      <c r="L9" s="23"/>
      <c r="M9" s="34"/>
      <c r="N9" s="55"/>
      <c r="O9" s="23"/>
      <c r="P9" s="34"/>
      <c r="Q9" s="58"/>
      <c r="R9" s="23"/>
      <c r="S9" s="34"/>
      <c r="T9" s="126"/>
      <c r="U9" s="126"/>
      <c r="V9" s="126"/>
      <c r="W9" s="132"/>
      <c r="X9" s="58">
        <v>5838</v>
      </c>
      <c r="Y9" s="23">
        <v>3993</v>
      </c>
      <c r="Z9" s="102" t="s">
        <v>90</v>
      </c>
    </row>
    <row r="10" spans="1:26" s="63" customFormat="1" ht="15" customHeight="1">
      <c r="A10" s="73">
        <v>6</v>
      </c>
      <c r="B10" s="9"/>
      <c r="C10" s="9"/>
      <c r="D10" s="12" t="s">
        <v>29</v>
      </c>
      <c r="E10" s="9"/>
      <c r="F10" s="10" t="s">
        <v>31</v>
      </c>
      <c r="G10" s="77" t="s">
        <v>21</v>
      </c>
      <c r="H10" s="58">
        <v>2098</v>
      </c>
      <c r="I10" s="58">
        <f aca="true" t="shared" si="0" ref="I10:I23">(H10+27)*1.015</f>
        <v>2156.875</v>
      </c>
      <c r="J10" s="32" t="s">
        <v>90</v>
      </c>
      <c r="K10" s="23"/>
      <c r="L10" s="23"/>
      <c r="M10" s="34"/>
      <c r="N10" s="55"/>
      <c r="O10" s="23"/>
      <c r="P10" s="34"/>
      <c r="Q10" s="58"/>
      <c r="R10" s="23"/>
      <c r="S10" s="34"/>
      <c r="T10" s="126"/>
      <c r="U10" s="126"/>
      <c r="V10" s="126"/>
      <c r="W10" s="132"/>
      <c r="X10" s="58">
        <v>5668</v>
      </c>
      <c r="Y10" s="23">
        <v>3920</v>
      </c>
      <c r="Z10" s="102" t="s">
        <v>90</v>
      </c>
    </row>
    <row r="11" spans="1:26" s="63" customFormat="1" ht="15" customHeight="1">
      <c r="A11" s="73">
        <v>7</v>
      </c>
      <c r="B11" s="9"/>
      <c r="C11" s="9"/>
      <c r="D11" s="12" t="s">
        <v>29</v>
      </c>
      <c r="E11" s="9"/>
      <c r="F11" s="10" t="s">
        <v>32</v>
      </c>
      <c r="G11" s="77" t="s">
        <v>21</v>
      </c>
      <c r="H11" s="58">
        <v>1948</v>
      </c>
      <c r="I11" s="58">
        <f t="shared" si="0"/>
        <v>2004.6249999999998</v>
      </c>
      <c r="J11" s="32" t="s">
        <v>90</v>
      </c>
      <c r="K11" s="23"/>
      <c r="L11" s="23"/>
      <c r="M11" s="34"/>
      <c r="N11" s="55"/>
      <c r="O11" s="23"/>
      <c r="P11" s="34"/>
      <c r="Q11" s="58"/>
      <c r="R11" s="23"/>
      <c r="S11" s="34"/>
      <c r="T11" s="126"/>
      <c r="U11" s="126"/>
      <c r="V11" s="126"/>
      <c r="W11" s="132"/>
      <c r="X11" s="58">
        <v>5648</v>
      </c>
      <c r="Y11" s="23">
        <v>3888</v>
      </c>
      <c r="Z11" s="102" t="s">
        <v>90</v>
      </c>
    </row>
    <row r="12" spans="1:26" s="63" customFormat="1" ht="15" customHeight="1">
      <c r="A12" s="73">
        <v>8</v>
      </c>
      <c r="B12" s="9"/>
      <c r="C12" s="9"/>
      <c r="D12" s="12" t="s">
        <v>29</v>
      </c>
      <c r="E12" s="9"/>
      <c r="F12" s="10" t="s">
        <v>33</v>
      </c>
      <c r="G12" s="77" t="s">
        <v>21</v>
      </c>
      <c r="H12" s="58">
        <v>2008</v>
      </c>
      <c r="I12" s="58">
        <f t="shared" si="0"/>
        <v>2065.5249999999996</v>
      </c>
      <c r="J12" s="32" t="s">
        <v>90</v>
      </c>
      <c r="K12" s="23"/>
      <c r="L12" s="23"/>
      <c r="M12" s="34"/>
      <c r="N12" s="55"/>
      <c r="O12" s="23"/>
      <c r="P12" s="34"/>
      <c r="Q12" s="58"/>
      <c r="R12" s="23"/>
      <c r="S12" s="34"/>
      <c r="T12" s="126"/>
      <c r="U12" s="126"/>
      <c r="V12" s="126"/>
      <c r="W12" s="132"/>
      <c r="X12" s="58">
        <v>5760</v>
      </c>
      <c r="Y12" s="23"/>
      <c r="Z12" s="34"/>
    </row>
    <row r="13" spans="1:26" s="61" customFormat="1" ht="24" customHeight="1">
      <c r="A13" s="73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81" t="s">
        <v>21</v>
      </c>
      <c r="H13" s="24" t="e">
        <f>H14*0.27+H15*0.67+H16*0.06</f>
        <v>#REF!</v>
      </c>
      <c r="I13" s="24" t="e">
        <f>I14*0.27+I15*0.67+I16*0.06</f>
        <v>#REF!</v>
      </c>
      <c r="J13" s="33"/>
      <c r="K13" s="24"/>
      <c r="L13" s="24"/>
      <c r="M13" s="24"/>
      <c r="N13" s="24"/>
      <c r="O13" s="24"/>
      <c r="P13" s="24"/>
      <c r="Q13" s="24"/>
      <c r="R13" s="24"/>
      <c r="S13" s="24"/>
      <c r="T13" s="125"/>
      <c r="U13" s="125"/>
      <c r="V13" s="125"/>
      <c r="W13" s="132"/>
      <c r="X13" s="24">
        <v>4001</v>
      </c>
      <c r="Y13" s="24">
        <v>4347</v>
      </c>
      <c r="Z13" s="24"/>
    </row>
    <row r="14" spans="1:26" s="63" customFormat="1" ht="15" customHeight="1">
      <c r="A14" s="73">
        <v>10</v>
      </c>
      <c r="B14" s="9"/>
      <c r="C14" s="9"/>
      <c r="D14" s="10" t="s">
        <v>37</v>
      </c>
      <c r="E14" s="9"/>
      <c r="F14" s="13" t="s">
        <v>38</v>
      </c>
      <c r="G14" s="77" t="s">
        <v>21</v>
      </c>
      <c r="H14" s="58" t="e">
        <f>#REF!+135</f>
        <v>#REF!</v>
      </c>
      <c r="I14" s="58" t="e">
        <f t="shared" si="0"/>
        <v>#REF!</v>
      </c>
      <c r="J14" s="32" t="s">
        <v>91</v>
      </c>
      <c r="K14" s="23"/>
      <c r="L14" s="23"/>
      <c r="M14" s="58"/>
      <c r="N14" s="58"/>
      <c r="O14" s="23"/>
      <c r="P14" s="34"/>
      <c r="Q14" s="58"/>
      <c r="R14" s="23"/>
      <c r="S14" s="34"/>
      <c r="T14" s="126"/>
      <c r="U14" s="126"/>
      <c r="V14" s="126"/>
      <c r="W14" s="132"/>
      <c r="X14" s="58">
        <v>3800</v>
      </c>
      <c r="Y14" s="23">
        <v>4129</v>
      </c>
      <c r="Z14" s="102" t="s">
        <v>251</v>
      </c>
    </row>
    <row r="15" spans="1:26" s="63" customFormat="1" ht="15" customHeight="1">
      <c r="A15" s="73">
        <v>11</v>
      </c>
      <c r="B15" s="9"/>
      <c r="C15" s="9"/>
      <c r="D15" s="10" t="s">
        <v>39</v>
      </c>
      <c r="E15" s="9"/>
      <c r="F15" s="13" t="s">
        <v>40</v>
      </c>
      <c r="G15" s="77" t="s">
        <v>21</v>
      </c>
      <c r="H15" s="58" t="e">
        <f>#REF!+135</f>
        <v>#REF!</v>
      </c>
      <c r="I15" s="58" t="e">
        <f t="shared" si="0"/>
        <v>#REF!</v>
      </c>
      <c r="J15" s="32" t="s">
        <v>92</v>
      </c>
      <c r="K15" s="23"/>
      <c r="L15" s="23"/>
      <c r="M15" s="58"/>
      <c r="N15" s="58"/>
      <c r="O15" s="23"/>
      <c r="P15" s="34"/>
      <c r="Q15" s="58"/>
      <c r="R15" s="23"/>
      <c r="S15" s="34"/>
      <c r="T15" s="126"/>
      <c r="U15" s="126"/>
      <c r="V15" s="126"/>
      <c r="W15" s="132"/>
      <c r="X15" s="58">
        <v>4100</v>
      </c>
      <c r="Y15" s="23">
        <v>4455</v>
      </c>
      <c r="Z15" s="102" t="s">
        <v>251</v>
      </c>
    </row>
    <row r="16" spans="1:26" s="63" customFormat="1" ht="15" customHeight="1">
      <c r="A16" s="73">
        <v>12</v>
      </c>
      <c r="B16" s="9"/>
      <c r="C16" s="9"/>
      <c r="D16" s="10" t="s">
        <v>41</v>
      </c>
      <c r="E16" s="9"/>
      <c r="F16" s="13" t="s">
        <v>42</v>
      </c>
      <c r="G16" s="77" t="s">
        <v>21</v>
      </c>
      <c r="H16" s="58" t="e">
        <f>#REF!+135</f>
        <v>#REF!</v>
      </c>
      <c r="I16" s="58" t="e">
        <f t="shared" si="0"/>
        <v>#REF!</v>
      </c>
      <c r="J16" s="32" t="s">
        <v>91</v>
      </c>
      <c r="K16" s="23"/>
      <c r="L16" s="23"/>
      <c r="M16" s="58"/>
      <c r="N16" s="58"/>
      <c r="O16" s="23"/>
      <c r="P16" s="34"/>
      <c r="Q16" s="58"/>
      <c r="R16" s="23"/>
      <c r="S16" s="34"/>
      <c r="T16" s="126"/>
      <c r="U16" s="126"/>
      <c r="V16" s="126"/>
      <c r="W16" s="132"/>
      <c r="X16" s="58">
        <v>3800</v>
      </c>
      <c r="Y16" s="23">
        <v>4129</v>
      </c>
      <c r="Z16" s="102" t="s">
        <v>251</v>
      </c>
    </row>
    <row r="17" spans="1:26" s="63" customFormat="1" ht="15" customHeight="1">
      <c r="A17" s="73">
        <v>13</v>
      </c>
      <c r="B17" s="9"/>
      <c r="C17" s="6" t="s">
        <v>43</v>
      </c>
      <c r="D17" s="9"/>
      <c r="E17" s="9">
        <v>183</v>
      </c>
      <c r="F17" s="13" t="s">
        <v>44</v>
      </c>
      <c r="G17" s="77" t="s">
        <v>21</v>
      </c>
      <c r="H17" s="58" t="e">
        <f>#REF!+135</f>
        <v>#REF!</v>
      </c>
      <c r="I17" s="58" t="e">
        <f t="shared" si="0"/>
        <v>#REF!</v>
      </c>
      <c r="J17" s="32" t="s">
        <v>91</v>
      </c>
      <c r="K17" s="23"/>
      <c r="L17" s="23"/>
      <c r="M17" s="58"/>
      <c r="N17" s="58"/>
      <c r="O17" s="23"/>
      <c r="P17" s="34"/>
      <c r="Q17" s="58"/>
      <c r="R17" s="23"/>
      <c r="S17" s="34"/>
      <c r="T17" s="126"/>
      <c r="U17" s="126"/>
      <c r="V17" s="126"/>
      <c r="W17" s="132"/>
      <c r="X17" s="58">
        <v>4200</v>
      </c>
      <c r="Y17" s="23">
        <v>4564</v>
      </c>
      <c r="Z17" s="102" t="s">
        <v>251</v>
      </c>
    </row>
    <row r="18" spans="1:26" s="61" customFormat="1" ht="24" customHeight="1">
      <c r="A18" s="73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81" t="s">
        <v>21</v>
      </c>
      <c r="H18" s="55" t="e">
        <f>H19*0.6+H20*0.2+H21*0.2</f>
        <v>#REF!</v>
      </c>
      <c r="I18" s="55" t="e">
        <f>I19*0.6+I20*0.2+I21*0.2</f>
        <v>#REF!</v>
      </c>
      <c r="J18" s="33"/>
      <c r="K18" s="24"/>
      <c r="L18" s="24"/>
      <c r="M18" s="24"/>
      <c r="N18" s="55"/>
      <c r="O18" s="24"/>
      <c r="P18" s="29"/>
      <c r="Q18" s="55"/>
      <c r="R18" s="24"/>
      <c r="S18" s="29"/>
      <c r="T18" s="125"/>
      <c r="U18" s="125"/>
      <c r="V18" s="125"/>
      <c r="W18" s="132"/>
      <c r="X18" s="55">
        <f>X19*0.6+X20*0.2+X21*0.2</f>
        <v>4560</v>
      </c>
      <c r="Y18" s="55">
        <f>Y19*0.6+Y20*0.2+Y21*0.2</f>
        <v>4861.6</v>
      </c>
      <c r="Z18" s="29"/>
    </row>
    <row r="19" spans="1:26" s="63" customFormat="1" ht="15" customHeight="1">
      <c r="A19" s="73">
        <v>15</v>
      </c>
      <c r="B19" s="9"/>
      <c r="C19" s="9"/>
      <c r="D19" s="10" t="s">
        <v>48</v>
      </c>
      <c r="E19" s="25"/>
      <c r="F19" s="10" t="s">
        <v>49</v>
      </c>
      <c r="G19" s="77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6"/>
      <c r="W19" s="132"/>
      <c r="X19" s="58">
        <v>4200</v>
      </c>
      <c r="Y19" s="23">
        <v>4478</v>
      </c>
      <c r="Z19" s="102" t="s">
        <v>251</v>
      </c>
    </row>
    <row r="20" spans="1:26" s="63" customFormat="1" ht="15" customHeight="1">
      <c r="A20" s="73">
        <v>16</v>
      </c>
      <c r="B20" s="9"/>
      <c r="C20" s="9"/>
      <c r="D20" s="10" t="s">
        <v>50</v>
      </c>
      <c r="E20" s="25">
        <v>192</v>
      </c>
      <c r="F20" s="10" t="s">
        <v>51</v>
      </c>
      <c r="G20" s="77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6"/>
      <c r="W20" s="132"/>
      <c r="X20" s="58">
        <v>5100</v>
      </c>
      <c r="Y20" s="34">
        <v>5437</v>
      </c>
      <c r="Z20" s="102" t="s">
        <v>251</v>
      </c>
    </row>
    <row r="21" spans="1:26" s="63" customFormat="1" ht="15" customHeight="1">
      <c r="A21" s="73">
        <v>17</v>
      </c>
      <c r="B21" s="9"/>
      <c r="C21" s="9"/>
      <c r="D21" s="10" t="s">
        <v>52</v>
      </c>
      <c r="E21" s="25">
        <v>191</v>
      </c>
      <c r="F21" s="10" t="s">
        <v>53</v>
      </c>
      <c r="G21" s="77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6"/>
      <c r="W21" s="132"/>
      <c r="X21" s="58">
        <v>5100</v>
      </c>
      <c r="Y21" s="23">
        <v>5437</v>
      </c>
      <c r="Z21" s="102" t="s">
        <v>251</v>
      </c>
    </row>
    <row r="22" spans="1:26" s="63" customFormat="1" ht="15" customHeight="1">
      <c r="A22" s="73">
        <v>18</v>
      </c>
      <c r="B22" s="9"/>
      <c r="C22" s="10" t="s">
        <v>54</v>
      </c>
      <c r="D22" s="13"/>
      <c r="E22" s="9">
        <v>121</v>
      </c>
      <c r="F22" s="13"/>
      <c r="G22" s="77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6"/>
      <c r="X22" s="58"/>
      <c r="Y22" s="23"/>
      <c r="Z22" s="34"/>
    </row>
    <row r="23" spans="1:26" s="63" customFormat="1" ht="15" customHeight="1">
      <c r="A23" s="73">
        <v>19</v>
      </c>
      <c r="B23" s="9"/>
      <c r="C23" s="10" t="s">
        <v>55</v>
      </c>
      <c r="D23" s="13"/>
      <c r="E23" s="9">
        <v>125</v>
      </c>
      <c r="F23" s="10" t="s">
        <v>56</v>
      </c>
      <c r="G23" s="77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6"/>
      <c r="X23" s="58">
        <v>5400</v>
      </c>
      <c r="Y23" s="23"/>
      <c r="Z23" s="34"/>
    </row>
    <row r="24" spans="1:22" s="61" customFormat="1" ht="22.5" customHeight="1">
      <c r="A24" s="73">
        <v>20</v>
      </c>
      <c r="B24" s="6" t="s">
        <v>57</v>
      </c>
      <c r="C24" s="11" t="s">
        <v>58</v>
      </c>
      <c r="D24" s="14"/>
      <c r="E24" s="7"/>
      <c r="F24" s="23" t="s">
        <v>59</v>
      </c>
      <c r="G24" s="23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23"/>
    </row>
    <row r="25" spans="1:22" s="63" customFormat="1" ht="15" customHeight="1">
      <c r="A25" s="73">
        <v>21</v>
      </c>
      <c r="B25" s="9"/>
      <c r="C25" s="13" t="s">
        <v>60</v>
      </c>
      <c r="D25" s="13"/>
      <c r="E25" s="9">
        <v>832</v>
      </c>
      <c r="F25" s="120" t="s">
        <v>61</v>
      </c>
      <c r="G25" s="23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4">
        <v>347</v>
      </c>
      <c r="M25" s="87"/>
      <c r="N25" s="87">
        <f>ROUND((O25-10)/1.015/1.01,0)</f>
        <v>318</v>
      </c>
      <c r="O25" s="34">
        <v>336</v>
      </c>
      <c r="P25" s="87"/>
      <c r="Q25" s="87">
        <f>ROUND((R25-10)/1.015/1.01,0)</f>
        <v>320</v>
      </c>
      <c r="R25" s="127">
        <v>338</v>
      </c>
      <c r="S25" s="87"/>
      <c r="T25" s="87">
        <f>ROUND((U25-10)/1.015/1.01,0)</f>
        <v>341</v>
      </c>
      <c r="U25" s="133">
        <v>360</v>
      </c>
      <c r="V25" s="30"/>
    </row>
    <row r="26" spans="1:22" s="63" customFormat="1" ht="15" customHeight="1">
      <c r="A26" s="73">
        <v>22</v>
      </c>
      <c r="B26" s="9"/>
      <c r="C26" s="13" t="s">
        <v>60</v>
      </c>
      <c r="D26" s="13"/>
      <c r="E26" s="9"/>
      <c r="F26" s="120" t="s">
        <v>62</v>
      </c>
      <c r="G26" s="23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4">
        <v>311</v>
      </c>
      <c r="M26" s="87"/>
      <c r="N26" s="87">
        <f>ROUND((O26-10)/1.015/1.01,0)</f>
        <v>293</v>
      </c>
      <c r="O26" s="34">
        <v>310</v>
      </c>
      <c r="P26" s="87"/>
      <c r="Q26" s="87">
        <f>ROUND((R26-10)/1.015/1.01,0)</f>
        <v>297</v>
      </c>
      <c r="R26" s="128">
        <v>314</v>
      </c>
      <c r="S26" s="87"/>
      <c r="T26" s="87">
        <f>ROUND((U26-10)/1.015/1.01,0)</f>
        <v>312</v>
      </c>
      <c r="U26" s="134">
        <v>330</v>
      </c>
      <c r="V26" s="30"/>
    </row>
    <row r="27" spans="1:22" s="63" customFormat="1" ht="15" customHeight="1">
      <c r="A27" s="73">
        <v>23</v>
      </c>
      <c r="B27" s="9"/>
      <c r="C27" s="13" t="s">
        <v>63</v>
      </c>
      <c r="D27" s="13"/>
      <c r="E27" s="9">
        <v>833</v>
      </c>
      <c r="F27" s="120" t="s">
        <v>61</v>
      </c>
      <c r="G27" s="23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4">
        <v>390</v>
      </c>
      <c r="M27" s="87"/>
      <c r="N27" s="87">
        <f>ROUND((O27-10)/1.015/1.01,0)</f>
        <v>365</v>
      </c>
      <c r="O27" s="34">
        <v>384</v>
      </c>
      <c r="P27" s="87"/>
      <c r="Q27" s="87">
        <f>ROUND((R27-10)/1.015/1.01,0)</f>
        <v>373</v>
      </c>
      <c r="R27" s="128">
        <v>392</v>
      </c>
      <c r="S27" s="87"/>
      <c r="T27" s="87">
        <f>ROUND((U27-10)/1.015/1.01,0)</f>
        <v>390</v>
      </c>
      <c r="U27" s="134">
        <v>410</v>
      </c>
      <c r="V27" s="30"/>
    </row>
    <row r="28" spans="1:22" s="63" customFormat="1" ht="15" customHeight="1">
      <c r="A28" s="73">
        <v>24</v>
      </c>
      <c r="B28" s="9"/>
      <c r="C28" s="13" t="s">
        <v>63</v>
      </c>
      <c r="D28" s="13"/>
      <c r="E28" s="9"/>
      <c r="F28" s="120" t="s">
        <v>62</v>
      </c>
      <c r="G28" s="23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4">
        <v>363</v>
      </c>
      <c r="M28" s="87"/>
      <c r="N28" s="87">
        <f>ROUND((O28-10)/1.015/1.01,0)</f>
        <v>344</v>
      </c>
      <c r="O28" s="34">
        <v>363</v>
      </c>
      <c r="P28" s="87"/>
      <c r="Q28" s="87">
        <f>ROUND((R28-10)/1.015/1.01,0)</f>
        <v>354</v>
      </c>
      <c r="R28" s="128">
        <v>373</v>
      </c>
      <c r="S28" s="87"/>
      <c r="T28" s="87">
        <f>ROUND((U28-10)/1.015/1.01,0)</f>
        <v>369</v>
      </c>
      <c r="U28" s="134">
        <v>388</v>
      </c>
      <c r="V28" s="30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0" t="s">
        <v>2</v>
      </c>
      <c r="B31" s="46" t="s">
        <v>3</v>
      </c>
      <c r="C31" s="71" t="s">
        <v>4</v>
      </c>
      <c r="D31" s="72"/>
      <c r="E31" s="70" t="s">
        <v>245</v>
      </c>
      <c r="F31" s="46" t="s">
        <v>6</v>
      </c>
      <c r="G31" s="70" t="s">
        <v>7</v>
      </c>
      <c r="H31" s="86" t="s">
        <v>254</v>
      </c>
      <c r="I31" s="89"/>
      <c r="J31" s="90"/>
      <c r="K31" s="86" t="s">
        <v>255</v>
      </c>
      <c r="L31" s="89"/>
      <c r="M31" s="90"/>
      <c r="N31" s="86" t="s">
        <v>256</v>
      </c>
      <c r="O31" s="89"/>
      <c r="P31" s="90"/>
      <c r="Q31" s="86" t="s">
        <v>257</v>
      </c>
      <c r="R31" s="89"/>
      <c r="S31" s="90"/>
      <c r="T31" s="129" t="s">
        <v>172</v>
      </c>
      <c r="U31" s="129" t="s">
        <v>258</v>
      </c>
    </row>
    <row r="32" spans="1:21" s="63" customFormat="1" ht="18" customHeight="1">
      <c r="A32" s="73"/>
      <c r="B32" s="53"/>
      <c r="C32" s="74"/>
      <c r="D32" s="75"/>
      <c r="E32" s="73"/>
      <c r="F32" s="53"/>
      <c r="G32" s="73"/>
      <c r="H32" s="80" t="s">
        <v>14</v>
      </c>
      <c r="I32" s="80" t="s">
        <v>15</v>
      </c>
      <c r="J32" s="80" t="s">
        <v>106</v>
      </c>
      <c r="K32" s="80" t="s">
        <v>14</v>
      </c>
      <c r="L32" s="80" t="s">
        <v>15</v>
      </c>
      <c r="M32" s="80" t="s">
        <v>106</v>
      </c>
      <c r="N32" s="80" t="s">
        <v>14</v>
      </c>
      <c r="O32" s="80" t="s">
        <v>15</v>
      </c>
      <c r="P32" s="80" t="s">
        <v>106</v>
      </c>
      <c r="Q32" s="80" t="s">
        <v>14</v>
      </c>
      <c r="R32" s="80" t="s">
        <v>15</v>
      </c>
      <c r="S32" s="80" t="s">
        <v>106</v>
      </c>
      <c r="T32" s="130"/>
      <c r="U32" s="130"/>
    </row>
    <row r="33" spans="1:21" s="61" customFormat="1" ht="23.25" customHeight="1">
      <c r="A33" s="73">
        <v>1</v>
      </c>
      <c r="B33" s="6" t="s">
        <v>16</v>
      </c>
      <c r="C33" s="6" t="s">
        <v>17</v>
      </c>
      <c r="D33" s="8" t="s">
        <v>18</v>
      </c>
      <c r="E33" s="9" t="s">
        <v>19</v>
      </c>
      <c r="F33" s="21" t="s">
        <v>20</v>
      </c>
      <c r="G33" s="81" t="s">
        <v>21</v>
      </c>
      <c r="H33" s="55"/>
      <c r="I33" s="22"/>
      <c r="J33" s="29"/>
      <c r="K33" s="55"/>
      <c r="L33" s="22"/>
      <c r="M33" s="29"/>
      <c r="N33" s="22"/>
      <c r="O33" s="22"/>
      <c r="P33" s="29"/>
      <c r="Q33" s="55"/>
      <c r="R33" s="22"/>
      <c r="S33" s="29"/>
      <c r="T33" s="99" t="e">
        <f aca="true" t="shared" si="1" ref="T33:T56">AVERAGE(H5,K5,N5,Q5,T5,H33,K33,N33,Q33)</f>
        <v>#REF!</v>
      </c>
      <c r="U33" s="99" t="e">
        <f aca="true" t="shared" si="2" ref="U33:U56">AVERAGE(I5,L5,O5,R5,U5,I33,L33,O33,R33)</f>
        <v>#REF!</v>
      </c>
    </row>
    <row r="34" spans="1:21" s="63" customFormat="1" ht="24.75" customHeight="1">
      <c r="A34" s="73">
        <v>2</v>
      </c>
      <c r="B34" s="9"/>
      <c r="C34" s="9"/>
      <c r="D34" s="10" t="s">
        <v>22</v>
      </c>
      <c r="E34" s="9"/>
      <c r="F34" s="10" t="s">
        <v>23</v>
      </c>
      <c r="G34" s="77" t="s">
        <v>21</v>
      </c>
      <c r="H34" s="58"/>
      <c r="I34" s="23"/>
      <c r="J34" s="34"/>
      <c r="K34" s="58"/>
      <c r="L34" s="23"/>
      <c r="M34" s="34"/>
      <c r="N34" s="58"/>
      <c r="O34" s="23"/>
      <c r="P34" s="34"/>
      <c r="Q34" s="58"/>
      <c r="R34" s="23"/>
      <c r="S34" s="34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3">
        <v>3</v>
      </c>
      <c r="B35" s="9"/>
      <c r="C35" s="9"/>
      <c r="D35" s="10" t="s">
        <v>24</v>
      </c>
      <c r="E35" s="9"/>
      <c r="F35" s="10" t="s">
        <v>25</v>
      </c>
      <c r="G35" s="77" t="s">
        <v>21</v>
      </c>
      <c r="H35" s="58"/>
      <c r="I35" s="23"/>
      <c r="J35" s="34"/>
      <c r="K35" s="58"/>
      <c r="L35" s="23"/>
      <c r="M35" s="34"/>
      <c r="N35" s="58"/>
      <c r="O35" s="23"/>
      <c r="P35" s="34"/>
      <c r="Q35" s="58"/>
      <c r="R35" s="23"/>
      <c r="S35" s="34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3">
        <v>4</v>
      </c>
      <c r="B36" s="9"/>
      <c r="C36" s="6" t="s">
        <v>26</v>
      </c>
      <c r="D36" s="11" t="s">
        <v>27</v>
      </c>
      <c r="E36" s="9">
        <v>112</v>
      </c>
      <c r="F36" s="21" t="s">
        <v>28</v>
      </c>
      <c r="G36" s="81" t="s">
        <v>21</v>
      </c>
      <c r="H36" s="55"/>
      <c r="I36" s="22"/>
      <c r="J36" s="29"/>
      <c r="K36" s="55"/>
      <c r="L36" s="22"/>
      <c r="M36" s="29"/>
      <c r="N36" s="55"/>
      <c r="O36" s="22"/>
      <c r="P36" s="29"/>
      <c r="Q36" s="55"/>
      <c r="R36" s="22"/>
      <c r="S36" s="29"/>
      <c r="T36" s="99">
        <f t="shared" si="1"/>
        <v>2031.7000000000003</v>
      </c>
      <c r="U36" s="99">
        <f t="shared" si="2"/>
        <v>2089.5805</v>
      </c>
    </row>
    <row r="37" spans="1:21" s="63" customFormat="1" ht="15" customHeight="1">
      <c r="A37" s="73">
        <v>5</v>
      </c>
      <c r="B37" s="9"/>
      <c r="C37" s="9"/>
      <c r="D37" s="12" t="s">
        <v>29</v>
      </c>
      <c r="E37" s="9"/>
      <c r="F37" s="10" t="s">
        <v>30</v>
      </c>
      <c r="G37" s="77" t="s">
        <v>21</v>
      </c>
      <c r="H37" s="58"/>
      <c r="I37" s="23"/>
      <c r="J37" s="34"/>
      <c r="K37" s="58"/>
      <c r="L37" s="23"/>
      <c r="M37" s="34"/>
      <c r="N37" s="58"/>
      <c r="O37" s="23"/>
      <c r="P37" s="34"/>
      <c r="Q37" s="58"/>
      <c r="R37" s="23"/>
      <c r="S37" s="34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3">
        <v>6</v>
      </c>
      <c r="B38" s="9"/>
      <c r="C38" s="9"/>
      <c r="D38" s="12" t="s">
        <v>29</v>
      </c>
      <c r="E38" s="9"/>
      <c r="F38" s="10" t="s">
        <v>31</v>
      </c>
      <c r="G38" s="77" t="s">
        <v>21</v>
      </c>
      <c r="H38" s="58"/>
      <c r="I38" s="23"/>
      <c r="J38" s="34"/>
      <c r="K38" s="58"/>
      <c r="L38" s="23"/>
      <c r="M38" s="34"/>
      <c r="N38" s="58"/>
      <c r="O38" s="23"/>
      <c r="P38" s="34"/>
      <c r="Q38" s="58"/>
      <c r="R38" s="23"/>
      <c r="S38" s="34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3">
        <v>7</v>
      </c>
      <c r="B39" s="9"/>
      <c r="C39" s="9"/>
      <c r="D39" s="12" t="s">
        <v>29</v>
      </c>
      <c r="E39" s="9"/>
      <c r="F39" s="10" t="s">
        <v>32</v>
      </c>
      <c r="G39" s="77" t="s">
        <v>21</v>
      </c>
      <c r="H39" s="58"/>
      <c r="I39" s="23"/>
      <c r="J39" s="34"/>
      <c r="K39" s="58"/>
      <c r="L39" s="23"/>
      <c r="M39" s="34"/>
      <c r="N39" s="58"/>
      <c r="O39" s="23"/>
      <c r="P39" s="34"/>
      <c r="Q39" s="58"/>
      <c r="R39" s="23"/>
      <c r="S39" s="34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3">
        <v>8</v>
      </c>
      <c r="B40" s="9"/>
      <c r="C40" s="9"/>
      <c r="D40" s="12" t="s">
        <v>29</v>
      </c>
      <c r="E40" s="9"/>
      <c r="F40" s="10" t="s">
        <v>33</v>
      </c>
      <c r="G40" s="77" t="s">
        <v>21</v>
      </c>
      <c r="H40" s="58"/>
      <c r="I40" s="23"/>
      <c r="J40" s="34"/>
      <c r="K40" s="58"/>
      <c r="L40" s="23"/>
      <c r="M40" s="34"/>
      <c r="N40" s="58"/>
      <c r="O40" s="23"/>
      <c r="P40" s="34"/>
      <c r="Q40" s="58"/>
      <c r="R40" s="23"/>
      <c r="S40" s="34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3">
        <v>9</v>
      </c>
      <c r="B41" s="9"/>
      <c r="C41" s="6" t="s">
        <v>34</v>
      </c>
      <c r="D41" s="11" t="s">
        <v>35</v>
      </c>
      <c r="E41" s="9">
        <v>182</v>
      </c>
      <c r="F41" s="21" t="s">
        <v>36</v>
      </c>
      <c r="G41" s="81" t="s">
        <v>21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99" t="e">
        <f t="shared" si="1"/>
        <v>#REF!</v>
      </c>
      <c r="U41" s="99" t="e">
        <f t="shared" si="2"/>
        <v>#REF!</v>
      </c>
    </row>
    <row r="42" spans="1:21" s="63" customFormat="1" ht="15" customHeight="1">
      <c r="A42" s="73">
        <v>10</v>
      </c>
      <c r="B42" s="9"/>
      <c r="C42" s="9"/>
      <c r="D42" s="10" t="s">
        <v>37</v>
      </c>
      <c r="E42" s="9"/>
      <c r="F42" s="13" t="s">
        <v>38</v>
      </c>
      <c r="G42" s="77" t="s">
        <v>21</v>
      </c>
      <c r="H42" s="58"/>
      <c r="I42" s="23"/>
      <c r="J42" s="34"/>
      <c r="K42" s="58"/>
      <c r="L42" s="23"/>
      <c r="M42" s="34"/>
      <c r="N42" s="58"/>
      <c r="O42" s="23"/>
      <c r="P42" s="34"/>
      <c r="Q42" s="58"/>
      <c r="R42" s="23"/>
      <c r="S42" s="34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3">
        <v>11</v>
      </c>
      <c r="B43" s="9"/>
      <c r="C43" s="9"/>
      <c r="D43" s="10" t="s">
        <v>39</v>
      </c>
      <c r="E43" s="9"/>
      <c r="F43" s="13" t="s">
        <v>40</v>
      </c>
      <c r="G43" s="77" t="s">
        <v>21</v>
      </c>
      <c r="H43" s="58"/>
      <c r="I43" s="23"/>
      <c r="J43" s="34"/>
      <c r="K43" s="58"/>
      <c r="L43" s="23"/>
      <c r="M43" s="34"/>
      <c r="N43" s="58"/>
      <c r="O43" s="23"/>
      <c r="P43" s="34"/>
      <c r="Q43" s="58"/>
      <c r="R43" s="23"/>
      <c r="S43" s="34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3">
        <v>12</v>
      </c>
      <c r="B44" s="9"/>
      <c r="C44" s="9"/>
      <c r="D44" s="10" t="s">
        <v>41</v>
      </c>
      <c r="E44" s="9"/>
      <c r="F44" s="13" t="s">
        <v>42</v>
      </c>
      <c r="G44" s="77" t="s">
        <v>21</v>
      </c>
      <c r="H44" s="58"/>
      <c r="I44" s="23"/>
      <c r="J44" s="34"/>
      <c r="K44" s="58"/>
      <c r="L44" s="23"/>
      <c r="M44" s="34"/>
      <c r="N44" s="58"/>
      <c r="O44" s="23"/>
      <c r="P44" s="34"/>
      <c r="Q44" s="58"/>
      <c r="R44" s="23"/>
      <c r="S44" s="34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3">
        <v>13</v>
      </c>
      <c r="B45" s="9"/>
      <c r="C45" s="6" t="s">
        <v>43</v>
      </c>
      <c r="D45" s="9"/>
      <c r="E45" s="9">
        <v>183</v>
      </c>
      <c r="F45" s="13" t="s">
        <v>44</v>
      </c>
      <c r="G45" s="77" t="s">
        <v>21</v>
      </c>
      <c r="H45" s="58"/>
      <c r="I45" s="23"/>
      <c r="J45" s="34"/>
      <c r="K45" s="58"/>
      <c r="L45" s="23"/>
      <c r="M45" s="34"/>
      <c r="N45" s="58"/>
      <c r="O45" s="23"/>
      <c r="P45" s="34"/>
      <c r="Q45" s="58"/>
      <c r="R45" s="23"/>
      <c r="S45" s="34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3">
        <v>14</v>
      </c>
      <c r="B46" s="9"/>
      <c r="C46" s="6" t="s">
        <v>45</v>
      </c>
      <c r="D46" s="11" t="s">
        <v>46</v>
      </c>
      <c r="E46" s="25"/>
      <c r="F46" s="21" t="s">
        <v>47</v>
      </c>
      <c r="G46" s="81" t="s">
        <v>21</v>
      </c>
      <c r="H46" s="55"/>
      <c r="I46" s="24"/>
      <c r="J46" s="29"/>
      <c r="K46" s="55"/>
      <c r="L46" s="24"/>
      <c r="M46" s="29"/>
      <c r="N46" s="55"/>
      <c r="O46" s="24"/>
      <c r="P46" s="29"/>
      <c r="Q46" s="55"/>
      <c r="R46" s="24"/>
      <c r="S46" s="29"/>
      <c r="T46" s="99" t="e">
        <f t="shared" si="1"/>
        <v>#REF!</v>
      </c>
      <c r="U46" s="99" t="e">
        <f t="shared" si="2"/>
        <v>#REF!</v>
      </c>
    </row>
    <row r="47" spans="1:21" s="63" customFormat="1" ht="15" customHeight="1">
      <c r="A47" s="73">
        <v>15</v>
      </c>
      <c r="B47" s="9"/>
      <c r="C47" s="9"/>
      <c r="D47" s="10" t="s">
        <v>48</v>
      </c>
      <c r="E47" s="25"/>
      <c r="F47" s="10" t="s">
        <v>49</v>
      </c>
      <c r="G47" s="77" t="s">
        <v>21</v>
      </c>
      <c r="H47" s="58"/>
      <c r="I47" s="23"/>
      <c r="J47" s="34"/>
      <c r="K47" s="58"/>
      <c r="L47" s="23"/>
      <c r="M47" s="34"/>
      <c r="N47" s="58"/>
      <c r="O47" s="23"/>
      <c r="P47" s="34"/>
      <c r="Q47" s="58"/>
      <c r="R47" s="23"/>
      <c r="S47" s="34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3">
        <v>16</v>
      </c>
      <c r="B48" s="9"/>
      <c r="C48" s="9"/>
      <c r="D48" s="10" t="s">
        <v>50</v>
      </c>
      <c r="E48" s="25">
        <v>192</v>
      </c>
      <c r="F48" s="10" t="s">
        <v>51</v>
      </c>
      <c r="G48" s="77" t="s">
        <v>21</v>
      </c>
      <c r="H48" s="58"/>
      <c r="I48" s="34"/>
      <c r="J48" s="34"/>
      <c r="K48" s="58"/>
      <c r="L48" s="34"/>
      <c r="M48" s="34"/>
      <c r="N48" s="58"/>
      <c r="O48" s="34"/>
      <c r="P48" s="34"/>
      <c r="Q48" s="58"/>
      <c r="R48" s="34"/>
      <c r="S48" s="34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3">
        <v>17</v>
      </c>
      <c r="B49" s="9"/>
      <c r="C49" s="9"/>
      <c r="D49" s="10" t="s">
        <v>52</v>
      </c>
      <c r="E49" s="25">
        <v>191</v>
      </c>
      <c r="F49" s="10" t="s">
        <v>53</v>
      </c>
      <c r="G49" s="77" t="s">
        <v>21</v>
      </c>
      <c r="H49" s="58"/>
      <c r="I49" s="23"/>
      <c r="J49" s="34"/>
      <c r="K49" s="58"/>
      <c r="L49" s="23"/>
      <c r="M49" s="34"/>
      <c r="N49" s="58"/>
      <c r="O49" s="23"/>
      <c r="P49" s="34"/>
      <c r="Q49" s="58"/>
      <c r="R49" s="23"/>
      <c r="S49" s="34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3">
        <v>18</v>
      </c>
      <c r="B50" s="9"/>
      <c r="C50" s="10" t="s">
        <v>54</v>
      </c>
      <c r="D50" s="13"/>
      <c r="E50" s="9">
        <v>121</v>
      </c>
      <c r="F50" s="13"/>
      <c r="G50" s="77" t="s">
        <v>21</v>
      </c>
      <c r="H50" s="58"/>
      <c r="I50" s="23"/>
      <c r="J50" s="34"/>
      <c r="K50" s="58"/>
      <c r="L50" s="23"/>
      <c r="M50" s="34"/>
      <c r="N50" s="58"/>
      <c r="O50" s="23"/>
      <c r="P50" s="34"/>
      <c r="Q50" s="58"/>
      <c r="R50" s="23"/>
      <c r="S50" s="34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3">
        <v>19</v>
      </c>
      <c r="B51" s="9"/>
      <c r="C51" s="10" t="s">
        <v>55</v>
      </c>
      <c r="D51" s="13"/>
      <c r="E51" s="9">
        <v>125</v>
      </c>
      <c r="F51" s="10" t="s">
        <v>56</v>
      </c>
      <c r="G51" s="77" t="s">
        <v>21</v>
      </c>
      <c r="H51" s="58"/>
      <c r="I51" s="23"/>
      <c r="J51" s="34"/>
      <c r="K51" s="58"/>
      <c r="L51" s="23"/>
      <c r="M51" s="34"/>
      <c r="N51" s="58"/>
      <c r="O51" s="23"/>
      <c r="P51" s="34"/>
      <c r="Q51" s="58"/>
      <c r="R51" s="23"/>
      <c r="S51" s="34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3">
        <v>20</v>
      </c>
      <c r="B52" s="6" t="s">
        <v>57</v>
      </c>
      <c r="C52" s="11" t="s">
        <v>58</v>
      </c>
      <c r="D52" s="14"/>
      <c r="E52" s="7"/>
      <c r="F52" s="21" t="s">
        <v>59</v>
      </c>
      <c r="G52" s="81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99">
        <f t="shared" si="1"/>
        <v>316.8333333333333</v>
      </c>
      <c r="U52" s="99">
        <f t="shared" si="2"/>
        <v>334.72222222222223</v>
      </c>
    </row>
    <row r="53" spans="1:21" s="63" customFormat="1" ht="15" customHeight="1">
      <c r="A53" s="73">
        <v>21</v>
      </c>
      <c r="B53" s="9"/>
      <c r="C53" s="13" t="s">
        <v>60</v>
      </c>
      <c r="D53" s="13"/>
      <c r="E53" s="9">
        <v>832</v>
      </c>
      <c r="F53" s="10" t="s">
        <v>61</v>
      </c>
      <c r="G53" s="77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3">
        <v>22</v>
      </c>
      <c r="B54" s="9"/>
      <c r="C54" s="13" t="s">
        <v>60</v>
      </c>
      <c r="D54" s="13"/>
      <c r="E54" s="9"/>
      <c r="F54" s="10" t="s">
        <v>62</v>
      </c>
      <c r="G54" s="77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3">
        <v>23</v>
      </c>
      <c r="B55" s="9"/>
      <c r="C55" s="13" t="s">
        <v>63</v>
      </c>
      <c r="D55" s="13"/>
      <c r="E55" s="9">
        <v>833</v>
      </c>
      <c r="F55" s="10" t="s">
        <v>61</v>
      </c>
      <c r="G55" s="77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3">
        <v>24</v>
      </c>
      <c r="B56" s="9"/>
      <c r="C56" s="13" t="s">
        <v>63</v>
      </c>
      <c r="D56" s="13"/>
      <c r="E56" s="9"/>
      <c r="F56" s="10" t="s">
        <v>62</v>
      </c>
      <c r="G56" s="77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77">
        <v>25</v>
      </c>
      <c r="B57" s="6" t="s">
        <v>64</v>
      </c>
      <c r="C57" s="15" t="s">
        <v>65</v>
      </c>
      <c r="D57" s="16"/>
      <c r="E57" s="26"/>
      <c r="F57" s="27" t="s">
        <v>66</v>
      </c>
      <c r="G57" s="26" t="s">
        <v>67</v>
      </c>
      <c r="H57" s="110"/>
      <c r="I57" s="38">
        <v>6.37</v>
      </c>
      <c r="J57" s="95" t="s">
        <v>165</v>
      </c>
      <c r="K57" s="110"/>
      <c r="L57" s="38">
        <v>6.37</v>
      </c>
      <c r="M57" s="124" t="s">
        <v>165</v>
      </c>
      <c r="N57" s="110"/>
      <c r="O57" s="38">
        <v>6.37</v>
      </c>
      <c r="P57" s="95" t="s">
        <v>165</v>
      </c>
      <c r="Q57" s="110"/>
      <c r="R57" s="38">
        <v>6.37</v>
      </c>
      <c r="S57" s="95" t="s">
        <v>165</v>
      </c>
      <c r="T57" s="131"/>
      <c r="U57" s="131" t="e">
        <f>AVERAGE(#REF!,#REF!,#REF!,#REF!,#REF!,I57,L57,O57,R57)</f>
        <v>#REF!</v>
      </c>
    </row>
    <row r="58" spans="1:21" s="116" customFormat="1" ht="15" customHeight="1" hidden="1">
      <c r="A58" s="73">
        <v>26</v>
      </c>
      <c r="B58" s="6"/>
      <c r="C58" s="15" t="s">
        <v>65</v>
      </c>
      <c r="D58" s="16"/>
      <c r="E58" s="26">
        <v>862</v>
      </c>
      <c r="F58" s="27" t="s">
        <v>68</v>
      </c>
      <c r="G58" s="26" t="s">
        <v>67</v>
      </c>
      <c r="H58" s="110"/>
      <c r="I58" s="38">
        <v>6.75</v>
      </c>
      <c r="J58" s="95" t="s">
        <v>165</v>
      </c>
      <c r="K58" s="110"/>
      <c r="L58" s="38">
        <v>6.75</v>
      </c>
      <c r="M58" s="95" t="s">
        <v>165</v>
      </c>
      <c r="N58" s="110"/>
      <c r="O58" s="38">
        <v>6.75</v>
      </c>
      <c r="P58" s="95" t="s">
        <v>165</v>
      </c>
      <c r="Q58" s="110"/>
      <c r="R58" s="38">
        <v>6.75</v>
      </c>
      <c r="S58" s="95" t="s">
        <v>165</v>
      </c>
      <c r="T58" s="131"/>
      <c r="U58" s="131" t="e">
        <f>AVERAGE(#REF!,#REF!,#REF!,#REF!,#REF!,I58,L58,O58,R58)</f>
        <v>#REF!</v>
      </c>
    </row>
    <row r="59" spans="1:21" s="116" customFormat="1" ht="15" customHeight="1" hidden="1">
      <c r="A59" s="77">
        <v>27</v>
      </c>
      <c r="B59" s="17"/>
      <c r="C59" s="10" t="s">
        <v>69</v>
      </c>
      <c r="D59" s="18"/>
      <c r="E59" s="26">
        <v>863</v>
      </c>
      <c r="F59" s="27" t="s">
        <v>70</v>
      </c>
      <c r="G59" s="85" t="s">
        <v>67</v>
      </c>
      <c r="H59" s="110"/>
      <c r="I59" s="38">
        <v>5.75</v>
      </c>
      <c r="J59" s="95" t="s">
        <v>165</v>
      </c>
      <c r="K59" s="110"/>
      <c r="L59" s="38">
        <v>5.75</v>
      </c>
      <c r="M59" s="124" t="s">
        <v>165</v>
      </c>
      <c r="N59" s="110"/>
      <c r="O59" s="38">
        <v>5.75</v>
      </c>
      <c r="P59" s="95" t="s">
        <v>165</v>
      </c>
      <c r="Q59" s="110"/>
      <c r="R59" s="38">
        <v>5.75</v>
      </c>
      <c r="S59" s="95" t="s">
        <v>165</v>
      </c>
      <c r="T59" s="131"/>
      <c r="U59" s="131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19"/>
      <c r="C2" s="19"/>
      <c r="D2" s="19"/>
      <c r="E2" s="19"/>
      <c r="F2" s="19"/>
      <c r="G2" s="117"/>
      <c r="H2" s="117"/>
      <c r="I2" s="117"/>
      <c r="J2" s="117"/>
      <c r="K2" s="117"/>
      <c r="L2" s="117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23" s="63" customFormat="1" ht="14.25" customHeight="1">
      <c r="A3" s="70" t="s">
        <v>2</v>
      </c>
      <c r="B3" s="46" t="s">
        <v>3</v>
      </c>
      <c r="C3" s="71" t="s">
        <v>4</v>
      </c>
      <c r="D3" s="72"/>
      <c r="E3" s="70" t="s">
        <v>245</v>
      </c>
      <c r="F3" s="46" t="s">
        <v>6</v>
      </c>
      <c r="G3" s="70" t="s">
        <v>7</v>
      </c>
      <c r="H3" s="118" t="s">
        <v>246</v>
      </c>
      <c r="I3" s="89"/>
      <c r="J3" s="90"/>
      <c r="K3" s="86" t="s">
        <v>247</v>
      </c>
      <c r="L3" s="89"/>
      <c r="M3" s="90"/>
      <c r="N3" s="86" t="s">
        <v>248</v>
      </c>
      <c r="O3" s="89"/>
      <c r="P3" s="90"/>
      <c r="Q3" s="86" t="s">
        <v>249</v>
      </c>
      <c r="R3" s="89"/>
      <c r="S3" s="90"/>
      <c r="T3" s="86" t="s">
        <v>250</v>
      </c>
      <c r="U3" s="89"/>
      <c r="V3" s="90"/>
      <c r="W3" s="43" t="s">
        <v>80</v>
      </c>
    </row>
    <row r="4" spans="1:27" s="63" customFormat="1" ht="18" customHeight="1">
      <c r="A4" s="73"/>
      <c r="B4" s="53"/>
      <c r="C4" s="74"/>
      <c r="D4" s="75"/>
      <c r="E4" s="73"/>
      <c r="F4" s="53"/>
      <c r="G4" s="73"/>
      <c r="H4" s="119" t="s">
        <v>14</v>
      </c>
      <c r="I4" s="80" t="s">
        <v>15</v>
      </c>
      <c r="J4" s="80" t="s">
        <v>106</v>
      </c>
      <c r="K4" s="80" t="s">
        <v>14</v>
      </c>
      <c r="L4" s="80" t="s">
        <v>15</v>
      </c>
      <c r="M4" s="80" t="s">
        <v>106</v>
      </c>
      <c r="N4" s="80" t="s">
        <v>14</v>
      </c>
      <c r="O4" s="80" t="s">
        <v>15</v>
      </c>
      <c r="P4" s="80" t="s">
        <v>106</v>
      </c>
      <c r="Q4" s="80" t="s">
        <v>14</v>
      </c>
      <c r="R4" s="80" t="s">
        <v>15</v>
      </c>
      <c r="S4" s="80" t="s">
        <v>106</v>
      </c>
      <c r="T4" s="80" t="s">
        <v>14</v>
      </c>
      <c r="U4" s="80" t="s">
        <v>15</v>
      </c>
      <c r="V4" s="80" t="s">
        <v>106</v>
      </c>
      <c r="W4" s="43"/>
      <c r="Y4" s="6" t="s">
        <v>14</v>
      </c>
      <c r="Z4" s="6" t="s">
        <v>15</v>
      </c>
      <c r="AA4" s="6" t="s">
        <v>106</v>
      </c>
    </row>
    <row r="5" spans="1:27" s="61" customFormat="1" ht="23.25" customHeight="1">
      <c r="A5" s="73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81" t="s">
        <v>21</v>
      </c>
      <c r="H5" s="55" t="e">
        <f>H6*0.8+H7*0.2</f>
        <v>#REF!</v>
      </c>
      <c r="I5" s="55" t="e">
        <f>I6*0.8+I7*0.2</f>
        <v>#REF!</v>
      </c>
      <c r="J5" s="29"/>
      <c r="K5" s="22"/>
      <c r="L5" s="22"/>
      <c r="M5" s="55"/>
      <c r="N5" s="55"/>
      <c r="O5" s="22"/>
      <c r="P5" s="29"/>
      <c r="Q5" s="55"/>
      <c r="R5" s="22"/>
      <c r="S5" s="29"/>
      <c r="T5" s="125"/>
      <c r="U5" s="22"/>
      <c r="V5" s="125"/>
      <c r="W5" s="44">
        <v>17</v>
      </c>
      <c r="X5" s="132"/>
      <c r="Y5" s="55">
        <f>Y6*0.8+Y7*0.2</f>
        <v>6038.200000000001</v>
      </c>
      <c r="Z5" s="55">
        <f>Z6*0.8+Z7*0.2</f>
        <v>4140</v>
      </c>
      <c r="AA5" s="29"/>
    </row>
    <row r="6" spans="1:27" s="63" customFormat="1" ht="27" customHeight="1">
      <c r="A6" s="73">
        <v>2</v>
      </c>
      <c r="B6" s="9"/>
      <c r="C6" s="9"/>
      <c r="D6" s="10" t="s">
        <v>22</v>
      </c>
      <c r="E6" s="9"/>
      <c r="F6" s="10" t="s">
        <v>23</v>
      </c>
      <c r="G6" s="77" t="s">
        <v>21</v>
      </c>
      <c r="H6" s="58" t="e">
        <f>#REF!+135</f>
        <v>#REF!</v>
      </c>
      <c r="I6" s="58" t="e">
        <f>(H6+27)*1.015</f>
        <v>#REF!</v>
      </c>
      <c r="J6" s="31"/>
      <c r="K6" s="23"/>
      <c r="L6" s="23"/>
      <c r="M6" s="34"/>
      <c r="N6" s="55"/>
      <c r="O6" s="23"/>
      <c r="P6" s="34"/>
      <c r="Q6" s="58"/>
      <c r="R6" s="23"/>
      <c r="S6" s="34"/>
      <c r="T6" s="126"/>
      <c r="U6" s="23"/>
      <c r="V6" s="126"/>
      <c r="W6" s="45">
        <v>17</v>
      </c>
      <c r="X6" s="132"/>
      <c r="Y6" s="58">
        <v>6083</v>
      </c>
      <c r="Z6" s="23">
        <v>4203</v>
      </c>
      <c r="AA6" s="102" t="s">
        <v>89</v>
      </c>
    </row>
    <row r="7" spans="1:27" s="63" customFormat="1" ht="15" customHeight="1">
      <c r="A7" s="73">
        <v>3</v>
      </c>
      <c r="B7" s="9"/>
      <c r="C7" s="9"/>
      <c r="D7" s="10" t="s">
        <v>24</v>
      </c>
      <c r="E7" s="9"/>
      <c r="F7" s="10" t="s">
        <v>25</v>
      </c>
      <c r="G7" s="77" t="s">
        <v>21</v>
      </c>
      <c r="H7" s="58">
        <v>2146</v>
      </c>
      <c r="I7" s="58">
        <f>(H7+27)*1.015</f>
        <v>2205.595</v>
      </c>
      <c r="J7" s="32" t="s">
        <v>89</v>
      </c>
      <c r="K7" s="23"/>
      <c r="L7" s="23"/>
      <c r="M7" s="34"/>
      <c r="N7" s="55"/>
      <c r="O7" s="23"/>
      <c r="P7" s="34"/>
      <c r="Q7" s="58"/>
      <c r="R7" s="23"/>
      <c r="S7" s="34"/>
      <c r="T7" s="126"/>
      <c r="U7" s="23"/>
      <c r="V7" s="126"/>
      <c r="W7" s="45">
        <v>17</v>
      </c>
      <c r="X7" s="132"/>
      <c r="Y7" s="58">
        <v>5859</v>
      </c>
      <c r="Z7" s="23">
        <v>3888</v>
      </c>
      <c r="AA7" s="102" t="s">
        <v>89</v>
      </c>
    </row>
    <row r="8" spans="1:27" s="61" customFormat="1" ht="37.5" customHeight="1">
      <c r="A8" s="73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81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3"/>
      <c r="K8" s="55"/>
      <c r="L8" s="22"/>
      <c r="M8" s="34"/>
      <c r="N8" s="55"/>
      <c r="O8" s="22"/>
      <c r="P8" s="29"/>
      <c r="Q8" s="55"/>
      <c r="R8" s="22"/>
      <c r="S8" s="29"/>
      <c r="T8" s="125"/>
      <c r="U8" s="125"/>
      <c r="V8" s="125"/>
      <c r="W8" s="44">
        <v>17</v>
      </c>
      <c r="X8" s="132"/>
      <c r="Y8" s="55">
        <f>Y9*0.03+Y10*0.38+Y11*0.27+Y12*0.32</f>
        <v>5697.14</v>
      </c>
      <c r="Z8" s="22">
        <f>Y8-H8</f>
        <v>3665.44</v>
      </c>
      <c r="AA8" s="29"/>
    </row>
    <row r="9" spans="1:27" s="63" customFormat="1" ht="15" customHeight="1">
      <c r="A9" s="73">
        <v>5</v>
      </c>
      <c r="B9" s="9"/>
      <c r="C9" s="9"/>
      <c r="D9" s="12" t="s">
        <v>29</v>
      </c>
      <c r="E9" s="9"/>
      <c r="F9" s="10" t="s">
        <v>30</v>
      </c>
      <c r="G9" s="77" t="s">
        <v>21</v>
      </c>
      <c r="H9" s="58">
        <v>2198</v>
      </c>
      <c r="I9" s="58">
        <f>(H9+27)*1.015</f>
        <v>2258.375</v>
      </c>
      <c r="J9" s="32" t="s">
        <v>90</v>
      </c>
      <c r="K9" s="23"/>
      <c r="L9" s="23"/>
      <c r="M9" s="34"/>
      <c r="N9" s="55"/>
      <c r="O9" s="23"/>
      <c r="P9" s="34"/>
      <c r="Q9" s="58"/>
      <c r="R9" s="23"/>
      <c r="S9" s="34"/>
      <c r="T9" s="126"/>
      <c r="U9" s="126"/>
      <c r="V9" s="126"/>
      <c r="W9" s="45">
        <v>17</v>
      </c>
      <c r="X9" s="132"/>
      <c r="Y9" s="58">
        <v>5838</v>
      </c>
      <c r="Z9" s="23">
        <v>3993</v>
      </c>
      <c r="AA9" s="102" t="s">
        <v>90</v>
      </c>
    </row>
    <row r="10" spans="1:27" s="63" customFormat="1" ht="15" customHeight="1">
      <c r="A10" s="73">
        <v>6</v>
      </c>
      <c r="B10" s="9"/>
      <c r="C10" s="9"/>
      <c r="D10" s="12" t="s">
        <v>29</v>
      </c>
      <c r="E10" s="9"/>
      <c r="F10" s="10" t="s">
        <v>31</v>
      </c>
      <c r="G10" s="77" t="s">
        <v>21</v>
      </c>
      <c r="H10" s="58">
        <v>2098</v>
      </c>
      <c r="I10" s="58">
        <f aca="true" t="shared" si="0" ref="I10:I23">(H10+27)*1.015</f>
        <v>2156.875</v>
      </c>
      <c r="J10" s="32" t="s">
        <v>90</v>
      </c>
      <c r="K10" s="23"/>
      <c r="L10" s="23"/>
      <c r="M10" s="34"/>
      <c r="N10" s="55"/>
      <c r="O10" s="23"/>
      <c r="P10" s="34"/>
      <c r="Q10" s="58"/>
      <c r="R10" s="23"/>
      <c r="S10" s="34"/>
      <c r="T10" s="126"/>
      <c r="U10" s="126"/>
      <c r="V10" s="126"/>
      <c r="W10" s="45">
        <v>17</v>
      </c>
      <c r="X10" s="132"/>
      <c r="Y10" s="58">
        <v>5668</v>
      </c>
      <c r="Z10" s="23">
        <v>3920</v>
      </c>
      <c r="AA10" s="102" t="s">
        <v>90</v>
      </c>
    </row>
    <row r="11" spans="1:27" s="63" customFormat="1" ht="15" customHeight="1">
      <c r="A11" s="73">
        <v>7</v>
      </c>
      <c r="B11" s="9"/>
      <c r="C11" s="9"/>
      <c r="D11" s="12" t="s">
        <v>29</v>
      </c>
      <c r="E11" s="9"/>
      <c r="F11" s="10" t="s">
        <v>32</v>
      </c>
      <c r="G11" s="77" t="s">
        <v>21</v>
      </c>
      <c r="H11" s="58">
        <v>1948</v>
      </c>
      <c r="I11" s="58">
        <f t="shared" si="0"/>
        <v>2004.6249999999998</v>
      </c>
      <c r="J11" s="32" t="s">
        <v>90</v>
      </c>
      <c r="K11" s="23"/>
      <c r="L11" s="23"/>
      <c r="M11" s="34"/>
      <c r="N11" s="55"/>
      <c r="O11" s="23"/>
      <c r="P11" s="34"/>
      <c r="Q11" s="58"/>
      <c r="R11" s="23"/>
      <c r="S11" s="34"/>
      <c r="T11" s="126"/>
      <c r="U11" s="126"/>
      <c r="V11" s="126"/>
      <c r="W11" s="45">
        <v>17</v>
      </c>
      <c r="X11" s="132"/>
      <c r="Y11" s="58">
        <v>5648</v>
      </c>
      <c r="Z11" s="23">
        <v>3888</v>
      </c>
      <c r="AA11" s="102" t="s">
        <v>90</v>
      </c>
    </row>
    <row r="12" spans="1:27" s="63" customFormat="1" ht="15" customHeight="1">
      <c r="A12" s="73">
        <v>8</v>
      </c>
      <c r="B12" s="9"/>
      <c r="C12" s="9"/>
      <c r="D12" s="12" t="s">
        <v>29</v>
      </c>
      <c r="E12" s="9"/>
      <c r="F12" s="10" t="s">
        <v>33</v>
      </c>
      <c r="G12" s="77" t="s">
        <v>21</v>
      </c>
      <c r="H12" s="58">
        <v>2008</v>
      </c>
      <c r="I12" s="58">
        <f t="shared" si="0"/>
        <v>2065.5249999999996</v>
      </c>
      <c r="J12" s="32" t="s">
        <v>90</v>
      </c>
      <c r="K12" s="23"/>
      <c r="L12" s="23"/>
      <c r="M12" s="34"/>
      <c r="N12" s="55"/>
      <c r="O12" s="23"/>
      <c r="P12" s="34"/>
      <c r="Q12" s="58"/>
      <c r="R12" s="23"/>
      <c r="S12" s="34"/>
      <c r="T12" s="126"/>
      <c r="U12" s="126"/>
      <c r="V12" s="126"/>
      <c r="W12" s="45">
        <v>17</v>
      </c>
      <c r="X12" s="132"/>
      <c r="Y12" s="58">
        <v>5760</v>
      </c>
      <c r="Z12" s="23"/>
      <c r="AA12" s="34"/>
    </row>
    <row r="13" spans="1:27" s="61" customFormat="1" ht="24" customHeight="1">
      <c r="A13" s="73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81" t="s">
        <v>21</v>
      </c>
      <c r="H13" s="24" t="e">
        <f>H14*0.27+H15*0.67+H16*0.06</f>
        <v>#REF!</v>
      </c>
      <c r="I13" s="24" t="e">
        <f>I14*0.27+I15*0.67+I16*0.06</f>
        <v>#REF!</v>
      </c>
      <c r="J13" s="33"/>
      <c r="K13" s="24"/>
      <c r="L13" s="24"/>
      <c r="M13" s="24"/>
      <c r="N13" s="24"/>
      <c r="O13" s="24"/>
      <c r="P13" s="24"/>
      <c r="Q13" s="24"/>
      <c r="R13" s="24"/>
      <c r="S13" s="24"/>
      <c r="T13" s="125"/>
      <c r="U13" s="125"/>
      <c r="V13" s="125"/>
      <c r="W13" s="45">
        <v>17</v>
      </c>
      <c r="X13" s="132"/>
      <c r="Y13" s="24">
        <v>4001</v>
      </c>
      <c r="Z13" s="24">
        <v>4347</v>
      </c>
      <c r="AA13" s="24"/>
    </row>
    <row r="14" spans="1:27" s="63" customFormat="1" ht="15" customHeight="1">
      <c r="A14" s="73">
        <v>10</v>
      </c>
      <c r="B14" s="9"/>
      <c r="C14" s="9"/>
      <c r="D14" s="10" t="s">
        <v>37</v>
      </c>
      <c r="E14" s="9"/>
      <c r="F14" s="13" t="s">
        <v>38</v>
      </c>
      <c r="G14" s="77" t="s">
        <v>21</v>
      </c>
      <c r="H14" s="58" t="e">
        <f>#REF!+135</f>
        <v>#REF!</v>
      </c>
      <c r="I14" s="58" t="e">
        <f t="shared" si="0"/>
        <v>#REF!</v>
      </c>
      <c r="J14" s="32" t="s">
        <v>91</v>
      </c>
      <c r="K14" s="23"/>
      <c r="L14" s="23"/>
      <c r="M14" s="58"/>
      <c r="N14" s="58"/>
      <c r="O14" s="23"/>
      <c r="P14" s="34"/>
      <c r="Q14" s="58"/>
      <c r="R14" s="23"/>
      <c r="S14" s="34"/>
      <c r="T14" s="126"/>
      <c r="U14" s="126"/>
      <c r="V14" s="126"/>
      <c r="W14" s="45">
        <v>17</v>
      </c>
      <c r="X14" s="132"/>
      <c r="Y14" s="58">
        <v>3800</v>
      </c>
      <c r="Z14" s="23">
        <v>4129</v>
      </c>
      <c r="AA14" s="102" t="s">
        <v>251</v>
      </c>
    </row>
    <row r="15" spans="1:27" s="63" customFormat="1" ht="15" customHeight="1">
      <c r="A15" s="73">
        <v>11</v>
      </c>
      <c r="B15" s="9"/>
      <c r="C15" s="9"/>
      <c r="D15" s="10" t="s">
        <v>39</v>
      </c>
      <c r="E15" s="9"/>
      <c r="F15" s="13" t="s">
        <v>40</v>
      </c>
      <c r="G15" s="77" t="s">
        <v>21</v>
      </c>
      <c r="H15" s="58" t="e">
        <f>#REF!+135</f>
        <v>#REF!</v>
      </c>
      <c r="I15" s="58" t="e">
        <f t="shared" si="0"/>
        <v>#REF!</v>
      </c>
      <c r="J15" s="32" t="s">
        <v>92</v>
      </c>
      <c r="K15" s="23"/>
      <c r="L15" s="23"/>
      <c r="M15" s="58"/>
      <c r="N15" s="58"/>
      <c r="O15" s="23"/>
      <c r="P15" s="34"/>
      <c r="Q15" s="58"/>
      <c r="R15" s="23"/>
      <c r="S15" s="34"/>
      <c r="T15" s="126"/>
      <c r="U15" s="126"/>
      <c r="V15" s="126"/>
      <c r="W15" s="45">
        <v>17</v>
      </c>
      <c r="X15" s="132"/>
      <c r="Y15" s="58">
        <v>4100</v>
      </c>
      <c r="Z15" s="23">
        <v>4455</v>
      </c>
      <c r="AA15" s="102" t="s">
        <v>251</v>
      </c>
    </row>
    <row r="16" spans="1:27" s="63" customFormat="1" ht="15" customHeight="1">
      <c r="A16" s="73">
        <v>12</v>
      </c>
      <c r="B16" s="9"/>
      <c r="C16" s="9"/>
      <c r="D16" s="10" t="s">
        <v>41</v>
      </c>
      <c r="E16" s="9"/>
      <c r="F16" s="13" t="s">
        <v>42</v>
      </c>
      <c r="G16" s="77" t="s">
        <v>21</v>
      </c>
      <c r="H16" s="58" t="e">
        <f>#REF!+135</f>
        <v>#REF!</v>
      </c>
      <c r="I16" s="58" t="e">
        <f t="shared" si="0"/>
        <v>#REF!</v>
      </c>
      <c r="J16" s="32" t="s">
        <v>91</v>
      </c>
      <c r="K16" s="23"/>
      <c r="L16" s="23"/>
      <c r="M16" s="58"/>
      <c r="N16" s="58"/>
      <c r="O16" s="23"/>
      <c r="P16" s="34"/>
      <c r="Q16" s="58"/>
      <c r="R16" s="23"/>
      <c r="S16" s="34"/>
      <c r="T16" s="126"/>
      <c r="U16" s="126"/>
      <c r="V16" s="126"/>
      <c r="W16" s="45">
        <v>17</v>
      </c>
      <c r="X16" s="132"/>
      <c r="Y16" s="58">
        <v>3800</v>
      </c>
      <c r="Z16" s="23">
        <v>4129</v>
      </c>
      <c r="AA16" s="102" t="s">
        <v>251</v>
      </c>
    </row>
    <row r="17" spans="1:27" s="63" customFormat="1" ht="15" customHeight="1">
      <c r="A17" s="73">
        <v>13</v>
      </c>
      <c r="B17" s="9"/>
      <c r="C17" s="6" t="s">
        <v>43</v>
      </c>
      <c r="D17" s="9"/>
      <c r="E17" s="9">
        <v>183</v>
      </c>
      <c r="F17" s="13" t="s">
        <v>44</v>
      </c>
      <c r="G17" s="77" t="s">
        <v>21</v>
      </c>
      <c r="H17" s="58" t="e">
        <f>#REF!+135</f>
        <v>#REF!</v>
      </c>
      <c r="I17" s="58" t="e">
        <f t="shared" si="0"/>
        <v>#REF!</v>
      </c>
      <c r="J17" s="32" t="s">
        <v>91</v>
      </c>
      <c r="K17" s="23"/>
      <c r="L17" s="23"/>
      <c r="M17" s="58"/>
      <c r="N17" s="58"/>
      <c r="O17" s="23"/>
      <c r="P17" s="34"/>
      <c r="Q17" s="58"/>
      <c r="R17" s="23"/>
      <c r="S17" s="34"/>
      <c r="T17" s="126"/>
      <c r="U17" s="126"/>
      <c r="V17" s="126"/>
      <c r="W17" s="45">
        <v>17</v>
      </c>
      <c r="X17" s="132"/>
      <c r="Y17" s="58">
        <v>4200</v>
      </c>
      <c r="Z17" s="23">
        <v>4564</v>
      </c>
      <c r="AA17" s="102" t="s">
        <v>251</v>
      </c>
    </row>
    <row r="18" spans="1:27" s="61" customFormat="1" ht="24" customHeight="1">
      <c r="A18" s="73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81" t="s">
        <v>21</v>
      </c>
      <c r="H18" s="55" t="e">
        <f>H19*0.6+H20*0.2+H21*0.2</f>
        <v>#REF!</v>
      </c>
      <c r="I18" s="55" t="e">
        <f>I19*0.6+I20*0.2+I21*0.2</f>
        <v>#REF!</v>
      </c>
      <c r="J18" s="33"/>
      <c r="K18" s="24"/>
      <c r="L18" s="24"/>
      <c r="M18" s="24"/>
      <c r="N18" s="55"/>
      <c r="O18" s="24"/>
      <c r="P18" s="29"/>
      <c r="Q18" s="55"/>
      <c r="R18" s="24"/>
      <c r="S18" s="29"/>
      <c r="T18" s="125"/>
      <c r="U18" s="125"/>
      <c r="V18" s="125"/>
      <c r="W18" s="45">
        <v>17</v>
      </c>
      <c r="X18" s="132"/>
      <c r="Y18" s="55">
        <f>Y19*0.6+Y20*0.2+Y21*0.2</f>
        <v>4560</v>
      </c>
      <c r="Z18" s="55">
        <f>Z19*0.6+Z20*0.2+Z21*0.2</f>
        <v>4861.6</v>
      </c>
      <c r="AA18" s="29"/>
    </row>
    <row r="19" spans="1:27" s="63" customFormat="1" ht="15" customHeight="1">
      <c r="A19" s="73">
        <v>15</v>
      </c>
      <c r="B19" s="9"/>
      <c r="C19" s="9"/>
      <c r="D19" s="10" t="s">
        <v>48</v>
      </c>
      <c r="E19" s="25"/>
      <c r="F19" s="10" t="s">
        <v>49</v>
      </c>
      <c r="G19" s="77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6"/>
      <c r="W19" s="45">
        <v>17</v>
      </c>
      <c r="X19" s="132"/>
      <c r="Y19" s="58">
        <v>4200</v>
      </c>
      <c r="Z19" s="23">
        <v>4478</v>
      </c>
      <c r="AA19" s="102" t="s">
        <v>251</v>
      </c>
    </row>
    <row r="20" spans="1:27" s="63" customFormat="1" ht="15" customHeight="1">
      <c r="A20" s="73">
        <v>16</v>
      </c>
      <c r="B20" s="9"/>
      <c r="C20" s="9"/>
      <c r="D20" s="10" t="s">
        <v>50</v>
      </c>
      <c r="E20" s="25">
        <v>192</v>
      </c>
      <c r="F20" s="10" t="s">
        <v>51</v>
      </c>
      <c r="G20" s="77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6"/>
      <c r="W20" s="45">
        <v>17</v>
      </c>
      <c r="X20" s="132"/>
      <c r="Y20" s="58">
        <v>5100</v>
      </c>
      <c r="Z20" s="34">
        <v>5437</v>
      </c>
      <c r="AA20" s="102" t="s">
        <v>251</v>
      </c>
    </row>
    <row r="21" spans="1:27" s="63" customFormat="1" ht="15" customHeight="1">
      <c r="A21" s="73">
        <v>17</v>
      </c>
      <c r="B21" s="9"/>
      <c r="C21" s="9"/>
      <c r="D21" s="10" t="s">
        <v>52</v>
      </c>
      <c r="E21" s="25">
        <v>191</v>
      </c>
      <c r="F21" s="10" t="s">
        <v>53</v>
      </c>
      <c r="G21" s="77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6"/>
      <c r="W21" s="45">
        <v>17</v>
      </c>
      <c r="X21" s="132"/>
      <c r="Y21" s="58">
        <v>5100</v>
      </c>
      <c r="Z21" s="23">
        <v>5437</v>
      </c>
      <c r="AA21" s="102" t="s">
        <v>251</v>
      </c>
    </row>
    <row r="22" spans="1:27" s="63" customFormat="1" ht="15" customHeight="1">
      <c r="A22" s="73">
        <v>18</v>
      </c>
      <c r="B22" s="9"/>
      <c r="C22" s="10" t="s">
        <v>54</v>
      </c>
      <c r="D22" s="13"/>
      <c r="E22" s="9">
        <v>121</v>
      </c>
      <c r="F22" s="13"/>
      <c r="G22" s="77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6"/>
      <c r="W22" s="45">
        <v>17</v>
      </c>
      <c r="Y22" s="58"/>
      <c r="Z22" s="23"/>
      <c r="AA22" s="34"/>
    </row>
    <row r="23" spans="1:27" s="63" customFormat="1" ht="15" customHeight="1">
      <c r="A23" s="73">
        <v>19</v>
      </c>
      <c r="B23" s="9"/>
      <c r="C23" s="10" t="s">
        <v>55</v>
      </c>
      <c r="D23" s="13"/>
      <c r="E23" s="9">
        <v>125</v>
      </c>
      <c r="F23" s="10" t="s">
        <v>56</v>
      </c>
      <c r="G23" s="77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6"/>
      <c r="W23" s="45">
        <v>17</v>
      </c>
      <c r="Y23" s="58">
        <v>5400</v>
      </c>
      <c r="Z23" s="23"/>
      <c r="AA23" s="34"/>
    </row>
    <row r="24" spans="1:23" s="61" customFormat="1" ht="22.5" customHeight="1">
      <c r="A24" s="73">
        <v>20</v>
      </c>
      <c r="B24" s="6" t="s">
        <v>57</v>
      </c>
      <c r="C24" s="11" t="s">
        <v>58</v>
      </c>
      <c r="D24" s="14"/>
      <c r="E24" s="7"/>
      <c r="F24" s="23" t="s">
        <v>59</v>
      </c>
      <c r="G24" s="23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23"/>
      <c r="W24" s="45">
        <v>17</v>
      </c>
    </row>
    <row r="25" spans="1:23" s="63" customFormat="1" ht="15" customHeight="1">
      <c r="A25" s="73">
        <v>21</v>
      </c>
      <c r="B25" s="9"/>
      <c r="C25" s="13" t="s">
        <v>60</v>
      </c>
      <c r="D25" s="13"/>
      <c r="E25" s="9">
        <v>832</v>
      </c>
      <c r="F25" s="120" t="s">
        <v>61</v>
      </c>
      <c r="G25" s="23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4">
        <v>347</v>
      </c>
      <c r="M25" s="87"/>
      <c r="N25" s="87">
        <f>ROUND((O25-10)/1.015/1.01,0)</f>
        <v>318</v>
      </c>
      <c r="O25" s="34">
        <v>336</v>
      </c>
      <c r="P25" s="87"/>
      <c r="Q25" s="87">
        <f>ROUND((R25-10)/1.015/1.01,0)</f>
        <v>320</v>
      </c>
      <c r="R25" s="127">
        <v>338</v>
      </c>
      <c r="S25" s="87"/>
      <c r="T25" s="87">
        <f>ROUND((U25-10)/1.015/1.01,0)</f>
        <v>341</v>
      </c>
      <c r="U25" s="133">
        <v>360</v>
      </c>
      <c r="V25" s="30"/>
      <c r="W25" s="45">
        <v>17</v>
      </c>
    </row>
    <row r="26" spans="1:23" s="63" customFormat="1" ht="15" customHeight="1">
      <c r="A26" s="73">
        <v>22</v>
      </c>
      <c r="B26" s="9"/>
      <c r="C26" s="13" t="s">
        <v>60</v>
      </c>
      <c r="D26" s="13"/>
      <c r="E26" s="9"/>
      <c r="F26" s="120" t="s">
        <v>62</v>
      </c>
      <c r="G26" s="23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4">
        <v>311</v>
      </c>
      <c r="M26" s="87"/>
      <c r="N26" s="87">
        <f>ROUND((O26-10)/1.015/1.01,0)</f>
        <v>293</v>
      </c>
      <c r="O26" s="34">
        <v>310</v>
      </c>
      <c r="P26" s="87"/>
      <c r="Q26" s="87">
        <f>ROUND((R26-10)/1.015/1.01,0)</f>
        <v>297</v>
      </c>
      <c r="R26" s="128">
        <v>314</v>
      </c>
      <c r="S26" s="87"/>
      <c r="T26" s="87">
        <f>ROUND((U26-10)/1.015/1.01,0)</f>
        <v>312</v>
      </c>
      <c r="U26" s="134">
        <v>330</v>
      </c>
      <c r="V26" s="30"/>
      <c r="W26" s="45">
        <v>17</v>
      </c>
    </row>
    <row r="27" spans="1:23" s="63" customFormat="1" ht="15" customHeight="1">
      <c r="A27" s="73">
        <v>23</v>
      </c>
      <c r="B27" s="9"/>
      <c r="C27" s="13" t="s">
        <v>63</v>
      </c>
      <c r="D27" s="13"/>
      <c r="E27" s="9">
        <v>833</v>
      </c>
      <c r="F27" s="120" t="s">
        <v>61</v>
      </c>
      <c r="G27" s="23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4">
        <v>390</v>
      </c>
      <c r="M27" s="87"/>
      <c r="N27" s="87">
        <f>ROUND((O27-10)/1.015/1.01,0)</f>
        <v>365</v>
      </c>
      <c r="O27" s="34">
        <v>384</v>
      </c>
      <c r="P27" s="87"/>
      <c r="Q27" s="87">
        <f>ROUND((R27-10)/1.015/1.01,0)</f>
        <v>373</v>
      </c>
      <c r="R27" s="128">
        <v>392</v>
      </c>
      <c r="S27" s="87"/>
      <c r="T27" s="87">
        <f>ROUND((U27-10)/1.015/1.01,0)</f>
        <v>390</v>
      </c>
      <c r="U27" s="134">
        <v>410</v>
      </c>
      <c r="V27" s="30"/>
      <c r="W27" s="45">
        <v>17</v>
      </c>
    </row>
    <row r="28" spans="1:23" s="63" customFormat="1" ht="15" customHeight="1">
      <c r="A28" s="73">
        <v>24</v>
      </c>
      <c r="B28" s="9"/>
      <c r="C28" s="13" t="s">
        <v>63</v>
      </c>
      <c r="D28" s="13"/>
      <c r="E28" s="9"/>
      <c r="F28" s="120" t="s">
        <v>62</v>
      </c>
      <c r="G28" s="23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4">
        <v>363</v>
      </c>
      <c r="M28" s="87"/>
      <c r="N28" s="87">
        <f>ROUND((O28-10)/1.015/1.01,0)</f>
        <v>344</v>
      </c>
      <c r="O28" s="34">
        <v>363</v>
      </c>
      <c r="P28" s="87"/>
      <c r="Q28" s="87">
        <f>ROUND((R28-10)/1.015/1.01,0)</f>
        <v>354</v>
      </c>
      <c r="R28" s="128">
        <v>373</v>
      </c>
      <c r="S28" s="87"/>
      <c r="T28" s="87">
        <f>ROUND((U28-10)/1.015/1.01,0)</f>
        <v>369</v>
      </c>
      <c r="U28" s="134">
        <v>388</v>
      </c>
      <c r="V28" s="30"/>
      <c r="W28" s="45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0" t="s">
        <v>2</v>
      </c>
      <c r="B31" s="46" t="s">
        <v>3</v>
      </c>
      <c r="C31" s="71" t="s">
        <v>4</v>
      </c>
      <c r="D31" s="72"/>
      <c r="E31" s="70" t="s">
        <v>245</v>
      </c>
      <c r="F31" s="46" t="s">
        <v>6</v>
      </c>
      <c r="G31" s="70" t="s">
        <v>7</v>
      </c>
      <c r="H31" s="86" t="s">
        <v>254</v>
      </c>
      <c r="I31" s="89"/>
      <c r="J31" s="90"/>
      <c r="K31" s="86" t="s">
        <v>255</v>
      </c>
      <c r="L31" s="89"/>
      <c r="M31" s="90"/>
      <c r="N31" s="86" t="s">
        <v>256</v>
      </c>
      <c r="O31" s="89"/>
      <c r="P31" s="90"/>
      <c r="Q31" s="86" t="s">
        <v>257</v>
      </c>
      <c r="R31" s="89"/>
      <c r="S31" s="90"/>
      <c r="T31" s="129" t="s">
        <v>172</v>
      </c>
      <c r="U31" s="129" t="s">
        <v>258</v>
      </c>
      <c r="V31" s="43" t="s">
        <v>80</v>
      </c>
    </row>
    <row r="32" spans="1:22" s="63" customFormat="1" ht="18" customHeight="1">
      <c r="A32" s="73"/>
      <c r="B32" s="53"/>
      <c r="C32" s="74"/>
      <c r="D32" s="75"/>
      <c r="E32" s="73"/>
      <c r="F32" s="53"/>
      <c r="G32" s="73"/>
      <c r="H32" s="80" t="s">
        <v>14</v>
      </c>
      <c r="I32" s="80" t="s">
        <v>15</v>
      </c>
      <c r="J32" s="80" t="s">
        <v>106</v>
      </c>
      <c r="K32" s="80" t="s">
        <v>14</v>
      </c>
      <c r="L32" s="80" t="s">
        <v>15</v>
      </c>
      <c r="M32" s="80" t="s">
        <v>106</v>
      </c>
      <c r="N32" s="80" t="s">
        <v>14</v>
      </c>
      <c r="O32" s="80" t="s">
        <v>15</v>
      </c>
      <c r="P32" s="80" t="s">
        <v>106</v>
      </c>
      <c r="Q32" s="80" t="s">
        <v>14</v>
      </c>
      <c r="R32" s="80" t="s">
        <v>15</v>
      </c>
      <c r="S32" s="80" t="s">
        <v>106</v>
      </c>
      <c r="T32" s="130"/>
      <c r="U32" s="130"/>
      <c r="V32" s="43"/>
    </row>
    <row r="33" spans="1:22" s="61" customFormat="1" ht="23.25" customHeight="1">
      <c r="A33" s="73">
        <v>1</v>
      </c>
      <c r="B33" s="6" t="s">
        <v>16</v>
      </c>
      <c r="C33" s="6" t="s">
        <v>17</v>
      </c>
      <c r="D33" s="8" t="s">
        <v>18</v>
      </c>
      <c r="E33" s="9" t="s">
        <v>19</v>
      </c>
      <c r="F33" s="21" t="s">
        <v>20</v>
      </c>
      <c r="G33" s="81" t="s">
        <v>21</v>
      </c>
      <c r="H33" s="55"/>
      <c r="I33" s="22"/>
      <c r="J33" s="29"/>
      <c r="K33" s="55"/>
      <c r="L33" s="22"/>
      <c r="M33" s="29"/>
      <c r="N33" s="22"/>
      <c r="O33" s="22"/>
      <c r="P33" s="29"/>
      <c r="Q33" s="55"/>
      <c r="R33" s="22"/>
      <c r="S33" s="29"/>
      <c r="T33" s="99" t="e">
        <f aca="true" t="shared" si="1" ref="T33:U48">AVERAGE(H5,K5,N5,Q5,T5,H33,K33,N33,Q33)</f>
        <v>#REF!</v>
      </c>
      <c r="U33" s="99" t="e">
        <f t="shared" si="1"/>
        <v>#REF!</v>
      </c>
      <c r="V33" s="44">
        <v>17</v>
      </c>
    </row>
    <row r="34" spans="1:22" s="63" customFormat="1" ht="24.75" customHeight="1">
      <c r="A34" s="73">
        <v>2</v>
      </c>
      <c r="B34" s="9"/>
      <c r="C34" s="9"/>
      <c r="D34" s="10" t="s">
        <v>22</v>
      </c>
      <c r="E34" s="9"/>
      <c r="F34" s="10" t="s">
        <v>23</v>
      </c>
      <c r="G34" s="77" t="s">
        <v>21</v>
      </c>
      <c r="H34" s="58"/>
      <c r="I34" s="23"/>
      <c r="J34" s="34"/>
      <c r="K34" s="58"/>
      <c r="L34" s="23"/>
      <c r="M34" s="34"/>
      <c r="N34" s="58"/>
      <c r="O34" s="23"/>
      <c r="P34" s="34"/>
      <c r="Q34" s="58"/>
      <c r="R34" s="23"/>
      <c r="S34" s="34"/>
      <c r="T34" s="87" t="e">
        <f t="shared" si="1"/>
        <v>#REF!</v>
      </c>
      <c r="U34" s="87" t="e">
        <f t="shared" si="1"/>
        <v>#REF!</v>
      </c>
      <c r="V34" s="45">
        <v>17</v>
      </c>
    </row>
    <row r="35" spans="1:22" s="63" customFormat="1" ht="15" customHeight="1">
      <c r="A35" s="73">
        <v>3</v>
      </c>
      <c r="B35" s="9"/>
      <c r="C35" s="9"/>
      <c r="D35" s="10" t="s">
        <v>24</v>
      </c>
      <c r="E35" s="9"/>
      <c r="F35" s="10" t="s">
        <v>25</v>
      </c>
      <c r="G35" s="77" t="s">
        <v>21</v>
      </c>
      <c r="H35" s="58"/>
      <c r="I35" s="23"/>
      <c r="J35" s="34"/>
      <c r="K35" s="58"/>
      <c r="L35" s="23"/>
      <c r="M35" s="34"/>
      <c r="N35" s="58"/>
      <c r="O35" s="23"/>
      <c r="P35" s="34"/>
      <c r="Q35" s="58"/>
      <c r="R35" s="23"/>
      <c r="S35" s="34"/>
      <c r="T35" s="87">
        <f t="shared" si="1"/>
        <v>2146</v>
      </c>
      <c r="U35" s="87">
        <f t="shared" si="1"/>
        <v>2205.595</v>
      </c>
      <c r="V35" s="45">
        <v>17</v>
      </c>
    </row>
    <row r="36" spans="1:22" s="61" customFormat="1" ht="33" customHeight="1">
      <c r="A36" s="73">
        <v>4</v>
      </c>
      <c r="B36" s="9"/>
      <c r="C36" s="6" t="s">
        <v>26</v>
      </c>
      <c r="D36" s="11" t="s">
        <v>27</v>
      </c>
      <c r="E36" s="9">
        <v>112</v>
      </c>
      <c r="F36" s="21" t="s">
        <v>28</v>
      </c>
      <c r="G36" s="81" t="s">
        <v>21</v>
      </c>
      <c r="H36" s="55"/>
      <c r="I36" s="22"/>
      <c r="J36" s="29"/>
      <c r="K36" s="55"/>
      <c r="L36" s="22"/>
      <c r="M36" s="29"/>
      <c r="N36" s="55"/>
      <c r="O36" s="22"/>
      <c r="P36" s="29"/>
      <c r="Q36" s="55"/>
      <c r="R36" s="22"/>
      <c r="S36" s="29"/>
      <c r="T36" s="99">
        <f t="shared" si="1"/>
        <v>2031.7000000000003</v>
      </c>
      <c r="U36" s="99">
        <f t="shared" si="1"/>
        <v>2089.5805</v>
      </c>
      <c r="V36" s="44">
        <v>17</v>
      </c>
    </row>
    <row r="37" spans="1:22" s="63" customFormat="1" ht="15" customHeight="1">
      <c r="A37" s="73">
        <v>5</v>
      </c>
      <c r="B37" s="9"/>
      <c r="C37" s="9"/>
      <c r="D37" s="12" t="s">
        <v>29</v>
      </c>
      <c r="E37" s="9"/>
      <c r="F37" s="10" t="s">
        <v>30</v>
      </c>
      <c r="G37" s="77" t="s">
        <v>21</v>
      </c>
      <c r="H37" s="58"/>
      <c r="I37" s="23"/>
      <c r="J37" s="34"/>
      <c r="K37" s="58"/>
      <c r="L37" s="23"/>
      <c r="M37" s="34"/>
      <c r="N37" s="58"/>
      <c r="O37" s="23"/>
      <c r="P37" s="34"/>
      <c r="Q37" s="58"/>
      <c r="R37" s="23"/>
      <c r="S37" s="34"/>
      <c r="T37" s="87">
        <f t="shared" si="1"/>
        <v>2198</v>
      </c>
      <c r="U37" s="87">
        <f t="shared" si="1"/>
        <v>2258.375</v>
      </c>
      <c r="V37" s="45">
        <v>17</v>
      </c>
    </row>
    <row r="38" spans="1:22" s="63" customFormat="1" ht="15" customHeight="1">
      <c r="A38" s="73">
        <v>6</v>
      </c>
      <c r="B38" s="9"/>
      <c r="C38" s="9"/>
      <c r="D38" s="12" t="s">
        <v>29</v>
      </c>
      <c r="E38" s="9"/>
      <c r="F38" s="10" t="s">
        <v>31</v>
      </c>
      <c r="G38" s="77" t="s">
        <v>21</v>
      </c>
      <c r="H38" s="58"/>
      <c r="I38" s="23"/>
      <c r="J38" s="34"/>
      <c r="K38" s="58"/>
      <c r="L38" s="23"/>
      <c r="M38" s="34"/>
      <c r="N38" s="58"/>
      <c r="O38" s="23"/>
      <c r="P38" s="34"/>
      <c r="Q38" s="58"/>
      <c r="R38" s="23"/>
      <c r="S38" s="34"/>
      <c r="T38" s="87">
        <f t="shared" si="1"/>
        <v>2098</v>
      </c>
      <c r="U38" s="87">
        <f t="shared" si="1"/>
        <v>2156.875</v>
      </c>
      <c r="V38" s="45">
        <v>17</v>
      </c>
    </row>
    <row r="39" spans="1:22" s="63" customFormat="1" ht="15" customHeight="1">
      <c r="A39" s="73">
        <v>7</v>
      </c>
      <c r="B39" s="9"/>
      <c r="C39" s="9"/>
      <c r="D39" s="12" t="s">
        <v>29</v>
      </c>
      <c r="E39" s="9"/>
      <c r="F39" s="10" t="s">
        <v>32</v>
      </c>
      <c r="G39" s="77" t="s">
        <v>21</v>
      </c>
      <c r="H39" s="58"/>
      <c r="I39" s="23"/>
      <c r="J39" s="34"/>
      <c r="K39" s="58"/>
      <c r="L39" s="23"/>
      <c r="M39" s="34"/>
      <c r="N39" s="58"/>
      <c r="O39" s="23"/>
      <c r="P39" s="34"/>
      <c r="Q39" s="58"/>
      <c r="R39" s="23"/>
      <c r="S39" s="34"/>
      <c r="T39" s="87">
        <f t="shared" si="1"/>
        <v>1948</v>
      </c>
      <c r="U39" s="87">
        <f t="shared" si="1"/>
        <v>2004.6249999999998</v>
      </c>
      <c r="V39" s="45">
        <v>17</v>
      </c>
    </row>
    <row r="40" spans="1:22" s="63" customFormat="1" ht="15" customHeight="1">
      <c r="A40" s="73">
        <v>8</v>
      </c>
      <c r="B40" s="9"/>
      <c r="C40" s="9"/>
      <c r="D40" s="12" t="s">
        <v>29</v>
      </c>
      <c r="E40" s="9"/>
      <c r="F40" s="10" t="s">
        <v>33</v>
      </c>
      <c r="G40" s="77" t="s">
        <v>21</v>
      </c>
      <c r="H40" s="58"/>
      <c r="I40" s="23"/>
      <c r="J40" s="34"/>
      <c r="K40" s="58"/>
      <c r="L40" s="23"/>
      <c r="M40" s="34"/>
      <c r="N40" s="58"/>
      <c r="O40" s="23"/>
      <c r="P40" s="34"/>
      <c r="Q40" s="58"/>
      <c r="R40" s="23"/>
      <c r="S40" s="34"/>
      <c r="T40" s="87">
        <f t="shared" si="1"/>
        <v>2008</v>
      </c>
      <c r="U40" s="87">
        <f t="shared" si="1"/>
        <v>2065.5249999999996</v>
      </c>
      <c r="V40" s="45">
        <v>17</v>
      </c>
    </row>
    <row r="41" spans="1:22" s="61" customFormat="1" ht="20.25" customHeight="1">
      <c r="A41" s="73">
        <v>9</v>
      </c>
      <c r="B41" s="9"/>
      <c r="C41" s="6" t="s">
        <v>34</v>
      </c>
      <c r="D41" s="11" t="s">
        <v>35</v>
      </c>
      <c r="E41" s="9">
        <v>182</v>
      </c>
      <c r="F41" s="21" t="s">
        <v>36</v>
      </c>
      <c r="G41" s="81" t="s">
        <v>21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99" t="e">
        <f t="shared" si="1"/>
        <v>#REF!</v>
      </c>
      <c r="U41" s="99" t="e">
        <f t="shared" si="1"/>
        <v>#REF!</v>
      </c>
      <c r="V41" s="44">
        <v>17</v>
      </c>
    </row>
    <row r="42" spans="1:22" s="63" customFormat="1" ht="15" customHeight="1">
      <c r="A42" s="73">
        <v>10</v>
      </c>
      <c r="B42" s="9"/>
      <c r="C42" s="9"/>
      <c r="D42" s="10" t="s">
        <v>37</v>
      </c>
      <c r="E42" s="9"/>
      <c r="F42" s="13" t="s">
        <v>38</v>
      </c>
      <c r="G42" s="77" t="s">
        <v>21</v>
      </c>
      <c r="H42" s="58"/>
      <c r="I42" s="23"/>
      <c r="J42" s="34"/>
      <c r="K42" s="58"/>
      <c r="L42" s="23"/>
      <c r="M42" s="34"/>
      <c r="N42" s="58"/>
      <c r="O42" s="23"/>
      <c r="P42" s="34"/>
      <c r="Q42" s="58"/>
      <c r="R42" s="23"/>
      <c r="S42" s="34"/>
      <c r="T42" s="87" t="e">
        <f t="shared" si="1"/>
        <v>#REF!</v>
      </c>
      <c r="U42" s="87" t="e">
        <f t="shared" si="1"/>
        <v>#REF!</v>
      </c>
      <c r="V42" s="45">
        <v>17</v>
      </c>
    </row>
    <row r="43" spans="1:22" s="63" customFormat="1" ht="15" customHeight="1">
      <c r="A43" s="73">
        <v>11</v>
      </c>
      <c r="B43" s="9"/>
      <c r="C43" s="9"/>
      <c r="D43" s="10" t="s">
        <v>39</v>
      </c>
      <c r="E43" s="9"/>
      <c r="F43" s="13" t="s">
        <v>40</v>
      </c>
      <c r="G43" s="77" t="s">
        <v>21</v>
      </c>
      <c r="H43" s="58"/>
      <c r="I43" s="23"/>
      <c r="J43" s="34"/>
      <c r="K43" s="58"/>
      <c r="L43" s="23"/>
      <c r="M43" s="34"/>
      <c r="N43" s="58"/>
      <c r="O43" s="23"/>
      <c r="P43" s="34"/>
      <c r="Q43" s="58"/>
      <c r="R43" s="23"/>
      <c r="S43" s="34"/>
      <c r="T43" s="87" t="e">
        <f t="shared" si="1"/>
        <v>#REF!</v>
      </c>
      <c r="U43" s="87" t="e">
        <f t="shared" si="1"/>
        <v>#REF!</v>
      </c>
      <c r="V43" s="45">
        <v>17</v>
      </c>
    </row>
    <row r="44" spans="1:22" s="63" customFormat="1" ht="15" customHeight="1">
      <c r="A44" s="73">
        <v>12</v>
      </c>
      <c r="B44" s="9"/>
      <c r="C44" s="9"/>
      <c r="D44" s="10" t="s">
        <v>41</v>
      </c>
      <c r="E44" s="9"/>
      <c r="F44" s="13" t="s">
        <v>42</v>
      </c>
      <c r="G44" s="77" t="s">
        <v>21</v>
      </c>
      <c r="H44" s="58"/>
      <c r="I44" s="23"/>
      <c r="J44" s="34"/>
      <c r="K44" s="58"/>
      <c r="L44" s="23"/>
      <c r="M44" s="34"/>
      <c r="N44" s="58"/>
      <c r="O44" s="23"/>
      <c r="P44" s="34"/>
      <c r="Q44" s="58"/>
      <c r="R44" s="23"/>
      <c r="S44" s="34"/>
      <c r="T44" s="87" t="e">
        <f t="shared" si="1"/>
        <v>#REF!</v>
      </c>
      <c r="U44" s="87" t="e">
        <f t="shared" si="1"/>
        <v>#REF!</v>
      </c>
      <c r="V44" s="45">
        <v>17</v>
      </c>
    </row>
    <row r="45" spans="1:22" s="63" customFormat="1" ht="15" customHeight="1">
      <c r="A45" s="73">
        <v>13</v>
      </c>
      <c r="B45" s="9"/>
      <c r="C45" s="6" t="s">
        <v>43</v>
      </c>
      <c r="D45" s="9"/>
      <c r="E45" s="9">
        <v>183</v>
      </c>
      <c r="F45" s="13" t="s">
        <v>44</v>
      </c>
      <c r="G45" s="77" t="s">
        <v>21</v>
      </c>
      <c r="H45" s="58"/>
      <c r="I45" s="23"/>
      <c r="J45" s="34"/>
      <c r="K45" s="58"/>
      <c r="L45" s="23"/>
      <c r="M45" s="34"/>
      <c r="N45" s="58"/>
      <c r="O45" s="23"/>
      <c r="P45" s="34"/>
      <c r="Q45" s="58"/>
      <c r="R45" s="23"/>
      <c r="S45" s="34"/>
      <c r="T45" s="87" t="e">
        <f t="shared" si="1"/>
        <v>#REF!</v>
      </c>
      <c r="U45" s="87" t="e">
        <f t="shared" si="1"/>
        <v>#REF!</v>
      </c>
      <c r="V45" s="45">
        <v>17</v>
      </c>
    </row>
    <row r="46" spans="1:22" s="61" customFormat="1" ht="22.5" customHeight="1">
      <c r="A46" s="73">
        <v>14</v>
      </c>
      <c r="B46" s="9"/>
      <c r="C46" s="6" t="s">
        <v>45</v>
      </c>
      <c r="D46" s="11" t="s">
        <v>46</v>
      </c>
      <c r="E46" s="25"/>
      <c r="F46" s="21" t="s">
        <v>47</v>
      </c>
      <c r="G46" s="81" t="s">
        <v>21</v>
      </c>
      <c r="H46" s="55"/>
      <c r="I46" s="24"/>
      <c r="J46" s="29"/>
      <c r="K46" s="55"/>
      <c r="L46" s="24"/>
      <c r="M46" s="29"/>
      <c r="N46" s="55"/>
      <c r="O46" s="24"/>
      <c r="P46" s="29"/>
      <c r="Q46" s="55"/>
      <c r="R46" s="24"/>
      <c r="S46" s="29"/>
      <c r="T46" s="99" t="e">
        <f t="shared" si="1"/>
        <v>#REF!</v>
      </c>
      <c r="U46" s="99" t="e">
        <f t="shared" si="1"/>
        <v>#REF!</v>
      </c>
      <c r="V46" s="44">
        <v>17</v>
      </c>
    </row>
    <row r="47" spans="1:22" s="63" customFormat="1" ht="15" customHeight="1">
      <c r="A47" s="73">
        <v>15</v>
      </c>
      <c r="B47" s="9"/>
      <c r="C47" s="9"/>
      <c r="D47" s="10" t="s">
        <v>48</v>
      </c>
      <c r="E47" s="25"/>
      <c r="F47" s="10" t="s">
        <v>49</v>
      </c>
      <c r="G47" s="77" t="s">
        <v>21</v>
      </c>
      <c r="H47" s="58"/>
      <c r="I47" s="23"/>
      <c r="J47" s="34"/>
      <c r="K47" s="58"/>
      <c r="L47" s="23"/>
      <c r="M47" s="34"/>
      <c r="N47" s="58"/>
      <c r="O47" s="23"/>
      <c r="P47" s="34"/>
      <c r="Q47" s="58"/>
      <c r="R47" s="23"/>
      <c r="S47" s="34"/>
      <c r="T47" s="87" t="e">
        <f t="shared" si="1"/>
        <v>#REF!</v>
      </c>
      <c r="U47" s="87" t="e">
        <f t="shared" si="1"/>
        <v>#REF!</v>
      </c>
      <c r="V47" s="45">
        <v>17</v>
      </c>
    </row>
    <row r="48" spans="1:22" s="63" customFormat="1" ht="15" customHeight="1">
      <c r="A48" s="73">
        <v>16</v>
      </c>
      <c r="B48" s="9"/>
      <c r="C48" s="9"/>
      <c r="D48" s="10" t="s">
        <v>50</v>
      </c>
      <c r="E48" s="25">
        <v>192</v>
      </c>
      <c r="F48" s="10" t="s">
        <v>51</v>
      </c>
      <c r="G48" s="77" t="s">
        <v>21</v>
      </c>
      <c r="H48" s="58"/>
      <c r="I48" s="34"/>
      <c r="J48" s="34"/>
      <c r="K48" s="58"/>
      <c r="L48" s="34"/>
      <c r="M48" s="34"/>
      <c r="N48" s="58"/>
      <c r="O48" s="34"/>
      <c r="P48" s="34"/>
      <c r="Q48" s="58"/>
      <c r="R48" s="34"/>
      <c r="S48" s="34"/>
      <c r="T48" s="87" t="e">
        <f t="shared" si="1"/>
        <v>#REF!</v>
      </c>
      <c r="U48" s="87" t="e">
        <f t="shared" si="1"/>
        <v>#REF!</v>
      </c>
      <c r="V48" s="45">
        <v>17</v>
      </c>
    </row>
    <row r="49" spans="1:22" s="63" customFormat="1" ht="15" customHeight="1">
      <c r="A49" s="73">
        <v>17</v>
      </c>
      <c r="B49" s="9"/>
      <c r="C49" s="9"/>
      <c r="D49" s="10" t="s">
        <v>52</v>
      </c>
      <c r="E49" s="25">
        <v>191</v>
      </c>
      <c r="F49" s="10" t="s">
        <v>53</v>
      </c>
      <c r="G49" s="77" t="s">
        <v>21</v>
      </c>
      <c r="H49" s="58"/>
      <c r="I49" s="23"/>
      <c r="J49" s="34"/>
      <c r="K49" s="58"/>
      <c r="L49" s="23"/>
      <c r="M49" s="34"/>
      <c r="N49" s="58"/>
      <c r="O49" s="23"/>
      <c r="P49" s="34"/>
      <c r="Q49" s="58"/>
      <c r="R49" s="23"/>
      <c r="S49" s="34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5">
        <v>17</v>
      </c>
    </row>
    <row r="50" spans="1:22" s="63" customFormat="1" ht="15" customHeight="1">
      <c r="A50" s="73">
        <v>18</v>
      </c>
      <c r="B50" s="9"/>
      <c r="C50" s="10" t="s">
        <v>54</v>
      </c>
      <c r="D50" s="13"/>
      <c r="E50" s="9">
        <v>121</v>
      </c>
      <c r="F50" s="13"/>
      <c r="G50" s="77" t="s">
        <v>21</v>
      </c>
      <c r="H50" s="58"/>
      <c r="I50" s="23"/>
      <c r="J50" s="34"/>
      <c r="K50" s="58"/>
      <c r="L50" s="23"/>
      <c r="M50" s="34"/>
      <c r="N50" s="58"/>
      <c r="O50" s="23"/>
      <c r="P50" s="34"/>
      <c r="Q50" s="58"/>
      <c r="R50" s="23"/>
      <c r="S50" s="34"/>
      <c r="T50" s="87" t="e">
        <f t="shared" si="2"/>
        <v>#REF!</v>
      </c>
      <c r="U50" s="87" t="e">
        <f t="shared" si="2"/>
        <v>#REF!</v>
      </c>
      <c r="V50" s="45">
        <v>17</v>
      </c>
    </row>
    <row r="51" spans="1:22" s="63" customFormat="1" ht="15" customHeight="1">
      <c r="A51" s="73">
        <v>19</v>
      </c>
      <c r="B51" s="9"/>
      <c r="C51" s="10" t="s">
        <v>55</v>
      </c>
      <c r="D51" s="13"/>
      <c r="E51" s="9">
        <v>125</v>
      </c>
      <c r="F51" s="10" t="s">
        <v>56</v>
      </c>
      <c r="G51" s="77" t="s">
        <v>21</v>
      </c>
      <c r="H51" s="58"/>
      <c r="I51" s="23"/>
      <c r="J51" s="34"/>
      <c r="K51" s="58"/>
      <c r="L51" s="23"/>
      <c r="M51" s="34"/>
      <c r="N51" s="58"/>
      <c r="O51" s="23"/>
      <c r="P51" s="34"/>
      <c r="Q51" s="58"/>
      <c r="R51" s="23"/>
      <c r="S51" s="34"/>
      <c r="T51" s="87" t="e">
        <f t="shared" si="2"/>
        <v>#REF!</v>
      </c>
      <c r="U51" s="87" t="e">
        <f t="shared" si="2"/>
        <v>#REF!</v>
      </c>
      <c r="V51" s="45">
        <v>17</v>
      </c>
    </row>
    <row r="52" spans="1:22" s="61" customFormat="1" ht="22.5" customHeight="1">
      <c r="A52" s="73">
        <v>20</v>
      </c>
      <c r="B52" s="6" t="s">
        <v>57</v>
      </c>
      <c r="C52" s="11" t="s">
        <v>58</v>
      </c>
      <c r="D52" s="14"/>
      <c r="E52" s="7"/>
      <c r="F52" s="21" t="s">
        <v>59</v>
      </c>
      <c r="G52" s="81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99">
        <f t="shared" si="2"/>
        <v>316.8333333333333</v>
      </c>
      <c r="U52" s="99">
        <f t="shared" si="2"/>
        <v>334.72222222222223</v>
      </c>
      <c r="V52" s="44">
        <v>17</v>
      </c>
    </row>
    <row r="53" spans="1:22" s="63" customFormat="1" ht="15" customHeight="1">
      <c r="A53" s="73">
        <v>21</v>
      </c>
      <c r="B53" s="9"/>
      <c r="C53" s="13" t="s">
        <v>60</v>
      </c>
      <c r="D53" s="13"/>
      <c r="E53" s="9">
        <v>832</v>
      </c>
      <c r="F53" s="10" t="s">
        <v>61</v>
      </c>
      <c r="G53" s="77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5">
        <v>17</v>
      </c>
    </row>
    <row r="54" spans="1:22" s="63" customFormat="1" ht="15" customHeight="1">
      <c r="A54" s="73">
        <v>22</v>
      </c>
      <c r="B54" s="9"/>
      <c r="C54" s="13" t="s">
        <v>60</v>
      </c>
      <c r="D54" s="13"/>
      <c r="E54" s="9"/>
      <c r="F54" s="10" t="s">
        <v>62</v>
      </c>
      <c r="G54" s="77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5">
        <v>17</v>
      </c>
    </row>
    <row r="55" spans="1:22" s="63" customFormat="1" ht="15" customHeight="1">
      <c r="A55" s="73">
        <v>23</v>
      </c>
      <c r="B55" s="9"/>
      <c r="C55" s="13" t="s">
        <v>63</v>
      </c>
      <c r="D55" s="13"/>
      <c r="E55" s="9">
        <v>833</v>
      </c>
      <c r="F55" s="10" t="s">
        <v>61</v>
      </c>
      <c r="G55" s="77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5">
        <v>17</v>
      </c>
    </row>
    <row r="56" spans="1:22" s="63" customFormat="1" ht="15" customHeight="1">
      <c r="A56" s="73">
        <v>24</v>
      </c>
      <c r="B56" s="9"/>
      <c r="C56" s="13" t="s">
        <v>63</v>
      </c>
      <c r="D56" s="13"/>
      <c r="E56" s="9"/>
      <c r="F56" s="10" t="s">
        <v>62</v>
      </c>
      <c r="G56" s="77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5">
        <v>17</v>
      </c>
    </row>
    <row r="57" spans="1:21" s="116" customFormat="1" ht="15" customHeight="1" hidden="1">
      <c r="A57" s="77">
        <v>25</v>
      </c>
      <c r="B57" s="6" t="s">
        <v>64</v>
      </c>
      <c r="C57" s="15" t="s">
        <v>65</v>
      </c>
      <c r="D57" s="16"/>
      <c r="E57" s="26"/>
      <c r="F57" s="27" t="s">
        <v>66</v>
      </c>
      <c r="G57" s="26" t="s">
        <v>67</v>
      </c>
      <c r="H57" s="110"/>
      <c r="I57" s="38">
        <v>6.37</v>
      </c>
      <c r="J57" s="95" t="s">
        <v>165</v>
      </c>
      <c r="K57" s="110"/>
      <c r="L57" s="38">
        <v>6.37</v>
      </c>
      <c r="M57" s="124" t="s">
        <v>165</v>
      </c>
      <c r="N57" s="110"/>
      <c r="O57" s="38">
        <v>6.37</v>
      </c>
      <c r="P57" s="95" t="s">
        <v>165</v>
      </c>
      <c r="Q57" s="110"/>
      <c r="R57" s="38">
        <v>6.37</v>
      </c>
      <c r="S57" s="95" t="s">
        <v>165</v>
      </c>
      <c r="T57" s="131"/>
      <c r="U57" s="131" t="e">
        <f>AVERAGE(#REF!,#REF!,#REF!,#REF!,#REF!,I57,L57,O57,R57)</f>
        <v>#REF!</v>
      </c>
    </row>
    <row r="58" spans="1:21" s="116" customFormat="1" ht="15" customHeight="1" hidden="1">
      <c r="A58" s="73">
        <v>26</v>
      </c>
      <c r="B58" s="6"/>
      <c r="C58" s="15" t="s">
        <v>65</v>
      </c>
      <c r="D58" s="16"/>
      <c r="E58" s="26">
        <v>862</v>
      </c>
      <c r="F58" s="27" t="s">
        <v>68</v>
      </c>
      <c r="G58" s="26" t="s">
        <v>67</v>
      </c>
      <c r="H58" s="110"/>
      <c r="I58" s="38">
        <v>6.75</v>
      </c>
      <c r="J58" s="95" t="s">
        <v>165</v>
      </c>
      <c r="K58" s="110"/>
      <c r="L58" s="38">
        <v>6.75</v>
      </c>
      <c r="M58" s="95" t="s">
        <v>165</v>
      </c>
      <c r="N58" s="110"/>
      <c r="O58" s="38">
        <v>6.75</v>
      </c>
      <c r="P58" s="95" t="s">
        <v>165</v>
      </c>
      <c r="Q58" s="110"/>
      <c r="R58" s="38">
        <v>6.75</v>
      </c>
      <c r="S58" s="95" t="s">
        <v>165</v>
      </c>
      <c r="T58" s="131"/>
      <c r="U58" s="131" t="e">
        <f>AVERAGE(#REF!,#REF!,#REF!,#REF!,#REF!,I58,L58,O58,R58)</f>
        <v>#REF!</v>
      </c>
    </row>
    <row r="59" spans="1:21" s="116" customFormat="1" ht="15" customHeight="1" hidden="1">
      <c r="A59" s="77">
        <v>27</v>
      </c>
      <c r="B59" s="17"/>
      <c r="C59" s="10" t="s">
        <v>69</v>
      </c>
      <c r="D59" s="18"/>
      <c r="E59" s="26">
        <v>863</v>
      </c>
      <c r="F59" s="27" t="s">
        <v>70</v>
      </c>
      <c r="G59" s="85" t="s">
        <v>67</v>
      </c>
      <c r="H59" s="110"/>
      <c r="I59" s="38">
        <v>5.75</v>
      </c>
      <c r="J59" s="95" t="s">
        <v>165</v>
      </c>
      <c r="K59" s="110"/>
      <c r="L59" s="38">
        <v>5.75</v>
      </c>
      <c r="M59" s="124" t="s">
        <v>165</v>
      </c>
      <c r="N59" s="110"/>
      <c r="O59" s="38">
        <v>5.75</v>
      </c>
      <c r="P59" s="95" t="s">
        <v>165</v>
      </c>
      <c r="Q59" s="110"/>
      <c r="R59" s="38">
        <v>5.75</v>
      </c>
      <c r="S59" s="95" t="s">
        <v>165</v>
      </c>
      <c r="T59" s="131"/>
      <c r="U59" s="131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19"/>
      <c r="B2" s="19"/>
      <c r="C2" s="19"/>
      <c r="D2" s="19"/>
      <c r="E2" s="19"/>
      <c r="F2" s="19"/>
      <c r="G2" s="19"/>
      <c r="H2" s="19"/>
      <c r="I2" s="19"/>
      <c r="J2" s="111"/>
      <c r="K2" s="111"/>
      <c r="L2" s="111"/>
      <c r="M2" s="111"/>
      <c r="N2" s="111"/>
      <c r="O2" s="39"/>
      <c r="P2" s="39"/>
      <c r="Q2" s="39"/>
      <c r="R2" s="39"/>
      <c r="S2" s="39"/>
      <c r="T2" s="39"/>
      <c r="U2" s="39"/>
      <c r="V2" s="3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4" t="s">
        <v>260</v>
      </c>
      <c r="I3" s="56"/>
      <c r="J3" s="57"/>
      <c r="K3" s="54" t="s">
        <v>261</v>
      </c>
      <c r="L3" s="56"/>
      <c r="M3" s="57"/>
      <c r="N3" s="54" t="s">
        <v>262</v>
      </c>
      <c r="O3" s="56"/>
      <c r="P3" s="57"/>
      <c r="Q3" s="54" t="s">
        <v>263</v>
      </c>
      <c r="R3" s="56"/>
      <c r="S3" s="57"/>
      <c r="T3" s="54" t="s">
        <v>264</v>
      </c>
      <c r="U3" s="56"/>
      <c r="V3" s="57"/>
      <c r="W3" s="46" t="s">
        <v>77</v>
      </c>
      <c r="X3" s="46" t="s">
        <v>78</v>
      </c>
    </row>
    <row r="4" spans="1:24" ht="25.5">
      <c r="A4" s="53"/>
      <c r="B4" s="53"/>
      <c r="C4" s="108"/>
      <c r="D4" s="109"/>
      <c r="E4" s="53"/>
      <c r="F4" s="53"/>
      <c r="G4" s="53"/>
      <c r="H4" s="6" t="s">
        <v>14</v>
      </c>
      <c r="I4" s="6" t="s">
        <v>15</v>
      </c>
      <c r="J4" s="6" t="s">
        <v>106</v>
      </c>
      <c r="K4" s="6" t="s">
        <v>14</v>
      </c>
      <c r="L4" s="6" t="s">
        <v>15</v>
      </c>
      <c r="M4" s="6" t="s">
        <v>106</v>
      </c>
      <c r="N4" s="6" t="s">
        <v>14</v>
      </c>
      <c r="O4" s="6" t="s">
        <v>15</v>
      </c>
      <c r="P4" s="6" t="s">
        <v>106</v>
      </c>
      <c r="Q4" s="6" t="s">
        <v>14</v>
      </c>
      <c r="R4" s="6" t="s">
        <v>15</v>
      </c>
      <c r="S4" s="6" t="s">
        <v>106</v>
      </c>
      <c r="T4" s="6" t="s">
        <v>14</v>
      </c>
      <c r="U4" s="6" t="s">
        <v>15</v>
      </c>
      <c r="V4" s="6" t="s">
        <v>106</v>
      </c>
      <c r="W4" s="53"/>
      <c r="X4" s="53"/>
    </row>
    <row r="5" spans="1:24" s="104" customFormat="1" ht="24.75" customHeight="1">
      <c r="A5" s="53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7" t="s">
        <v>21</v>
      </c>
      <c r="H5" s="82" t="e">
        <f>H6*0.8+H7*0.2</f>
        <v>#REF!</v>
      </c>
      <c r="I5" s="82" t="e">
        <f>I6*0.8+I7*0.2</f>
        <v>#REF!</v>
      </c>
      <c r="J5" s="29"/>
      <c r="K5" s="55"/>
      <c r="L5" s="22"/>
      <c r="M5" s="29"/>
      <c r="N5" s="58"/>
      <c r="O5" s="30"/>
      <c r="P5" s="34"/>
      <c r="Q5" s="58"/>
      <c r="R5" s="30"/>
      <c r="S5" s="34"/>
      <c r="T5" s="34"/>
      <c r="U5" s="34"/>
      <c r="V5" s="29"/>
      <c r="W5" s="22" t="e">
        <f>AVERAGE(H5,K5,N5,Q5,T5)</f>
        <v>#REF!</v>
      </c>
      <c r="X5" s="22" t="e">
        <f>AVERAGE(I5,L5,O5,R5,U5)</f>
        <v>#REF!</v>
      </c>
    </row>
    <row r="6" spans="1:24" ht="25.5">
      <c r="A6" s="53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 t="e">
        <f>#REF!+80</f>
        <v>#REF!</v>
      </c>
      <c r="I6" s="112" t="e">
        <f>(H6+27)*1.015</f>
        <v>#REF!</v>
      </c>
      <c r="J6" s="113"/>
      <c r="K6" s="58"/>
      <c r="L6" s="34"/>
      <c r="M6" s="34"/>
      <c r="N6" s="58"/>
      <c r="O6" s="23"/>
      <c r="P6" s="34"/>
      <c r="Q6" s="58"/>
      <c r="R6" s="23"/>
      <c r="S6" s="34"/>
      <c r="T6" s="34"/>
      <c r="U6" s="34"/>
      <c r="V6" s="34"/>
      <c r="W6" s="30" t="e">
        <f aca="true" t="shared" si="0" ref="W6:X28">AVERAGE(H6,K6,N6,Q6,T6)</f>
        <v>#REF!</v>
      </c>
      <c r="X6" s="30" t="e">
        <f aca="true" t="shared" si="1" ref="X6:X31">AVERAGE(I6,L6,O6,R6,U6)</f>
        <v>#REF!</v>
      </c>
    </row>
    <row r="7" spans="1:24" ht="15" customHeight="1">
      <c r="A7" s="53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23" t="e">
        <f>#REF!+80</f>
        <v>#REF!</v>
      </c>
      <c r="I7" s="112" t="e">
        <f>(H7+27)*1.015</f>
        <v>#REF!</v>
      </c>
      <c r="J7" s="32" t="s">
        <v>89</v>
      </c>
      <c r="K7" s="58"/>
      <c r="L7" s="34"/>
      <c r="M7" s="34"/>
      <c r="N7" s="58"/>
      <c r="O7" s="23"/>
      <c r="P7" s="34"/>
      <c r="Q7" s="58"/>
      <c r="R7" s="23"/>
      <c r="S7" s="34"/>
      <c r="T7" s="34"/>
      <c r="U7" s="34"/>
      <c r="V7" s="34"/>
      <c r="W7" s="30" t="e">
        <f t="shared" si="0"/>
        <v>#REF!</v>
      </c>
      <c r="X7" s="30" t="e">
        <f t="shared" si="1"/>
        <v>#REF!</v>
      </c>
    </row>
    <row r="8" spans="1:24" s="104" customFormat="1" ht="36.75" customHeight="1">
      <c r="A8" s="53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82" t="e">
        <f>H9*0.03+H10*0.38+H11*0.27+H12*0.32</f>
        <v>#REF!</v>
      </c>
      <c r="I8" s="82" t="e">
        <f>I9*0.03+I10*0.38+I11*0.27+I12*0.32</f>
        <v>#REF!</v>
      </c>
      <c r="J8" s="33"/>
      <c r="K8" s="55"/>
      <c r="L8" s="29"/>
      <c r="M8" s="22"/>
      <c r="N8" s="58"/>
      <c r="O8" s="30"/>
      <c r="P8" s="34"/>
      <c r="Q8" s="58"/>
      <c r="R8" s="30"/>
      <c r="S8" s="34"/>
      <c r="T8" s="34"/>
      <c r="U8" s="34"/>
      <c r="V8" s="22"/>
      <c r="W8" s="22" t="e">
        <f t="shared" si="0"/>
        <v>#REF!</v>
      </c>
      <c r="X8" s="22" t="e">
        <f t="shared" si="1"/>
        <v>#REF!</v>
      </c>
    </row>
    <row r="9" spans="1:24" ht="15" customHeight="1">
      <c r="A9" s="53">
        <v>5</v>
      </c>
      <c r="B9" s="9"/>
      <c r="C9" s="9"/>
      <c r="D9" s="10" t="s">
        <v>29</v>
      </c>
      <c r="E9" s="9"/>
      <c r="F9" s="10" t="s">
        <v>30</v>
      </c>
      <c r="G9" s="9" t="s">
        <v>21</v>
      </c>
      <c r="H9" s="23" t="e">
        <f>#REF!+80</f>
        <v>#REF!</v>
      </c>
      <c r="I9" s="112" t="e">
        <f>(H9+27)*1.015</f>
        <v>#REF!</v>
      </c>
      <c r="J9" s="32" t="s">
        <v>90</v>
      </c>
      <c r="K9" s="58"/>
      <c r="L9" s="34"/>
      <c r="M9" s="34"/>
      <c r="N9" s="58"/>
      <c r="O9" s="23"/>
      <c r="P9" s="34"/>
      <c r="Q9" s="58"/>
      <c r="R9" s="23"/>
      <c r="S9" s="34"/>
      <c r="T9" s="34"/>
      <c r="U9" s="34"/>
      <c r="V9" s="34"/>
      <c r="W9" s="30" t="e">
        <f t="shared" si="0"/>
        <v>#REF!</v>
      </c>
      <c r="X9" s="30" t="e">
        <f t="shared" si="1"/>
        <v>#REF!</v>
      </c>
    </row>
    <row r="10" spans="1:24" ht="15" customHeight="1">
      <c r="A10" s="53">
        <v>6</v>
      </c>
      <c r="B10" s="9"/>
      <c r="C10" s="9"/>
      <c r="D10" s="10" t="s">
        <v>29</v>
      </c>
      <c r="E10" s="9"/>
      <c r="F10" s="10" t="s">
        <v>31</v>
      </c>
      <c r="G10" s="9" t="s">
        <v>21</v>
      </c>
      <c r="H10" s="23" t="e">
        <f>#REF!+80</f>
        <v>#REF!</v>
      </c>
      <c r="I10" s="112" t="e">
        <f>(H10+27)*1.015</f>
        <v>#REF!</v>
      </c>
      <c r="J10" s="32" t="s">
        <v>90</v>
      </c>
      <c r="K10" s="58"/>
      <c r="L10" s="34"/>
      <c r="M10" s="34"/>
      <c r="N10" s="58"/>
      <c r="O10" s="23"/>
      <c r="P10" s="34"/>
      <c r="Q10" s="58"/>
      <c r="R10" s="23"/>
      <c r="S10" s="34"/>
      <c r="T10" s="34"/>
      <c r="U10" s="34"/>
      <c r="V10" s="34"/>
      <c r="W10" s="30" t="e">
        <f t="shared" si="0"/>
        <v>#REF!</v>
      </c>
      <c r="X10" s="30" t="e">
        <f t="shared" si="1"/>
        <v>#REF!</v>
      </c>
    </row>
    <row r="11" spans="1:24" ht="15" customHeight="1">
      <c r="A11" s="53">
        <v>7</v>
      </c>
      <c r="B11" s="9"/>
      <c r="C11" s="9"/>
      <c r="D11" s="10" t="s">
        <v>29</v>
      </c>
      <c r="E11" s="9"/>
      <c r="F11" s="10" t="s">
        <v>32</v>
      </c>
      <c r="G11" s="9" t="s">
        <v>21</v>
      </c>
      <c r="H11" s="23" t="e">
        <f>#REF!+80</f>
        <v>#REF!</v>
      </c>
      <c r="I11" s="112" t="e">
        <f>(H11+27)*1.015</f>
        <v>#REF!</v>
      </c>
      <c r="J11" s="32" t="s">
        <v>90</v>
      </c>
      <c r="K11" s="58"/>
      <c r="L11" s="34"/>
      <c r="M11" s="34"/>
      <c r="N11" s="58"/>
      <c r="O11" s="23"/>
      <c r="P11" s="34"/>
      <c r="Q11" s="58"/>
      <c r="R11" s="23"/>
      <c r="S11" s="34"/>
      <c r="T11" s="34"/>
      <c r="U11" s="34"/>
      <c r="V11" s="34"/>
      <c r="W11" s="30" t="e">
        <f t="shared" si="0"/>
        <v>#REF!</v>
      </c>
      <c r="X11" s="30" t="e">
        <f t="shared" si="1"/>
        <v>#REF!</v>
      </c>
    </row>
    <row r="12" spans="1:24" ht="15" customHeight="1">
      <c r="A12" s="53">
        <v>8</v>
      </c>
      <c r="B12" s="9"/>
      <c r="C12" s="9"/>
      <c r="D12" s="10" t="s">
        <v>29</v>
      </c>
      <c r="E12" s="9"/>
      <c r="F12" s="10" t="s">
        <v>33</v>
      </c>
      <c r="G12" s="9" t="s">
        <v>21</v>
      </c>
      <c r="H12" s="23" t="e">
        <f>#REF!+80</f>
        <v>#REF!</v>
      </c>
      <c r="I12" s="112" t="e">
        <f>(H12+27)*1.015</f>
        <v>#REF!</v>
      </c>
      <c r="J12" s="32" t="s">
        <v>90</v>
      </c>
      <c r="K12" s="58"/>
      <c r="L12" s="34"/>
      <c r="M12" s="34"/>
      <c r="N12" s="58"/>
      <c r="O12" s="23"/>
      <c r="P12" s="34"/>
      <c r="Q12" s="58"/>
      <c r="R12" s="23"/>
      <c r="S12" s="34"/>
      <c r="T12" s="34"/>
      <c r="U12" s="34"/>
      <c r="V12" s="34"/>
      <c r="W12" s="30" t="e">
        <f t="shared" si="0"/>
        <v>#REF!</v>
      </c>
      <c r="X12" s="30" t="e">
        <f t="shared" si="1"/>
        <v>#REF!</v>
      </c>
    </row>
    <row r="13" spans="1:24" s="104" customFormat="1" ht="24" customHeight="1">
      <c r="A13" s="53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83" t="e">
        <f>H14*0.27+H15*0.67+H16*0.06</f>
        <v>#REF!</v>
      </c>
      <c r="I13" s="83" t="e">
        <f>I14*0.27+I15*0.67+I16*0.06</f>
        <v>#REF!</v>
      </c>
      <c r="J13" s="33"/>
      <c r="K13" s="24"/>
      <c r="L13" s="29"/>
      <c r="M13" s="24"/>
      <c r="N13" s="23"/>
      <c r="O13" s="23"/>
      <c r="P13" s="23"/>
      <c r="Q13" s="23"/>
      <c r="R13" s="23"/>
      <c r="S13" s="23"/>
      <c r="T13" s="23"/>
      <c r="U13" s="23"/>
      <c r="V13" s="24"/>
      <c r="W13" s="22" t="e">
        <f t="shared" si="0"/>
        <v>#REF!</v>
      </c>
      <c r="X13" s="22" t="e">
        <f t="shared" si="1"/>
        <v>#REF!</v>
      </c>
    </row>
    <row r="14" spans="1:24" ht="15" customHeight="1">
      <c r="A14" s="53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23" t="e">
        <f>#REF!+80</f>
        <v>#REF!</v>
      </c>
      <c r="I14" s="112" t="e">
        <f>(H14+27)*1.015</f>
        <v>#REF!</v>
      </c>
      <c r="J14" s="32" t="s">
        <v>91</v>
      </c>
      <c r="K14" s="58"/>
      <c r="L14" s="34"/>
      <c r="M14" s="34"/>
      <c r="N14" s="58"/>
      <c r="O14" s="23"/>
      <c r="P14" s="34"/>
      <c r="Q14" s="58"/>
      <c r="R14" s="23"/>
      <c r="S14" s="34"/>
      <c r="T14" s="34"/>
      <c r="U14" s="34"/>
      <c r="V14" s="34"/>
      <c r="W14" s="30" t="e">
        <f t="shared" si="0"/>
        <v>#REF!</v>
      </c>
      <c r="X14" s="30" t="e">
        <f t="shared" si="1"/>
        <v>#REF!</v>
      </c>
    </row>
    <row r="15" spans="1:24" ht="15" customHeight="1">
      <c r="A15" s="53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23" t="e">
        <f>#REF!+80</f>
        <v>#REF!</v>
      </c>
      <c r="I15" s="112" t="e">
        <f>(H15+27)*1.015</f>
        <v>#REF!</v>
      </c>
      <c r="J15" s="32" t="s">
        <v>92</v>
      </c>
      <c r="K15" s="58"/>
      <c r="L15" s="34"/>
      <c r="M15" s="34"/>
      <c r="N15" s="58"/>
      <c r="O15" s="23"/>
      <c r="P15" s="34"/>
      <c r="Q15" s="58"/>
      <c r="R15" s="23"/>
      <c r="S15" s="34"/>
      <c r="T15" s="34"/>
      <c r="U15" s="34"/>
      <c r="V15" s="34"/>
      <c r="W15" s="30" t="e">
        <f t="shared" si="0"/>
        <v>#REF!</v>
      </c>
      <c r="X15" s="30" t="e">
        <f t="shared" si="1"/>
        <v>#REF!</v>
      </c>
    </row>
    <row r="16" spans="1:24" ht="15" customHeight="1">
      <c r="A16" s="53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23" t="e">
        <f>#REF!+80</f>
        <v>#REF!</v>
      </c>
      <c r="I16" s="112" t="e">
        <f>(H16+27)*1.015</f>
        <v>#REF!</v>
      </c>
      <c r="J16" s="32" t="s">
        <v>91</v>
      </c>
      <c r="K16" s="58"/>
      <c r="L16" s="34"/>
      <c r="M16" s="34"/>
      <c r="N16" s="58"/>
      <c r="O16" s="23"/>
      <c r="P16" s="34"/>
      <c r="Q16" s="58"/>
      <c r="R16" s="23"/>
      <c r="S16" s="34"/>
      <c r="T16" s="34"/>
      <c r="U16" s="34"/>
      <c r="V16" s="34"/>
      <c r="W16" s="30" t="e">
        <f t="shared" si="0"/>
        <v>#REF!</v>
      </c>
      <c r="X16" s="30" t="e">
        <f t="shared" si="1"/>
        <v>#REF!</v>
      </c>
    </row>
    <row r="17" spans="1:24" ht="15" customHeight="1">
      <c r="A17" s="53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23" t="e">
        <f>#REF!+80</f>
        <v>#REF!</v>
      </c>
      <c r="I17" s="112" t="e">
        <f>(H17+27)*1.015</f>
        <v>#REF!</v>
      </c>
      <c r="J17" s="32" t="s">
        <v>91</v>
      </c>
      <c r="K17" s="58"/>
      <c r="L17" s="34"/>
      <c r="M17" s="34"/>
      <c r="N17" s="58"/>
      <c r="O17" s="23"/>
      <c r="P17" s="34"/>
      <c r="Q17" s="58"/>
      <c r="R17" s="23"/>
      <c r="S17" s="34"/>
      <c r="T17" s="34"/>
      <c r="U17" s="34"/>
      <c r="V17" s="34"/>
      <c r="W17" s="30" t="e">
        <f t="shared" si="0"/>
        <v>#REF!</v>
      </c>
      <c r="X17" s="30" t="e">
        <f t="shared" si="1"/>
        <v>#REF!</v>
      </c>
    </row>
    <row r="18" spans="1:24" s="104" customFormat="1" ht="36.75" customHeight="1">
      <c r="A18" s="53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83" t="e">
        <f>H19*0.6+H20*0.2+H21*0.2</f>
        <v>#REF!</v>
      </c>
      <c r="I18" s="83" t="e">
        <f>I19*0.6+I20*0.2+I21*0.2</f>
        <v>#REF!</v>
      </c>
      <c r="J18" s="33"/>
      <c r="K18" s="24"/>
      <c r="L18" s="24"/>
      <c r="M18" s="24"/>
      <c r="N18" s="58"/>
      <c r="O18" s="23"/>
      <c r="P18" s="34"/>
      <c r="Q18" s="58"/>
      <c r="R18" s="23"/>
      <c r="S18" s="34"/>
      <c r="T18" s="34"/>
      <c r="U18" s="34"/>
      <c r="V18" s="24"/>
      <c r="W18" s="22" t="e">
        <f t="shared" si="0"/>
        <v>#REF!</v>
      </c>
      <c r="X18" s="22" t="e">
        <f t="shared" si="1"/>
        <v>#REF!</v>
      </c>
    </row>
    <row r="19" spans="1:24" ht="15" customHeight="1">
      <c r="A19" s="53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23" t="e">
        <f>#REF!+80</f>
        <v>#REF!</v>
      </c>
      <c r="I19" s="23" t="e">
        <f>(H19+27)*1.015</f>
        <v>#REF!</v>
      </c>
      <c r="J19" s="32" t="s">
        <v>161</v>
      </c>
      <c r="K19" s="58"/>
      <c r="L19" s="34"/>
      <c r="M19" s="34"/>
      <c r="N19" s="58"/>
      <c r="O19" s="23"/>
      <c r="P19" s="34"/>
      <c r="Q19" s="58"/>
      <c r="R19" s="23"/>
      <c r="S19" s="34"/>
      <c r="T19" s="34"/>
      <c r="U19" s="34"/>
      <c r="V19" s="34"/>
      <c r="W19" s="30" t="e">
        <f t="shared" si="0"/>
        <v>#REF!</v>
      </c>
      <c r="X19" s="30" t="e">
        <f t="shared" si="1"/>
        <v>#REF!</v>
      </c>
    </row>
    <row r="20" spans="1:24" ht="15" customHeight="1">
      <c r="A20" s="53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23" t="e">
        <f>#REF!+80</f>
        <v>#REF!</v>
      </c>
      <c r="I20" s="23" t="e">
        <f>(H20+27)*1.015</f>
        <v>#REF!</v>
      </c>
      <c r="J20" s="32" t="s">
        <v>161</v>
      </c>
      <c r="K20" s="58"/>
      <c r="L20" s="34"/>
      <c r="M20" s="34"/>
      <c r="N20" s="58"/>
      <c r="O20" s="34"/>
      <c r="P20" s="34"/>
      <c r="Q20" s="58"/>
      <c r="R20" s="34"/>
      <c r="S20" s="34"/>
      <c r="T20" s="34"/>
      <c r="U20" s="34"/>
      <c r="V20" s="34"/>
      <c r="W20" s="30" t="e">
        <f t="shared" si="0"/>
        <v>#REF!</v>
      </c>
      <c r="X20" s="30" t="e">
        <f t="shared" si="1"/>
        <v>#REF!</v>
      </c>
    </row>
    <row r="21" spans="1:24" ht="15" customHeight="1">
      <c r="A21" s="53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23" t="e">
        <f>#REF!+80</f>
        <v>#REF!</v>
      </c>
      <c r="I21" s="23" t="e">
        <f>(H21+27)*1.015</f>
        <v>#REF!</v>
      </c>
      <c r="J21" s="32" t="s">
        <v>108</v>
      </c>
      <c r="K21" s="58"/>
      <c r="L21" s="34"/>
      <c r="M21" s="34"/>
      <c r="N21" s="58"/>
      <c r="O21" s="23"/>
      <c r="P21" s="34"/>
      <c r="Q21" s="58"/>
      <c r="R21" s="23"/>
      <c r="S21" s="34"/>
      <c r="T21" s="34"/>
      <c r="U21" s="34"/>
      <c r="V21" s="34"/>
      <c r="W21" s="30" t="e">
        <f t="shared" si="0"/>
        <v>#REF!</v>
      </c>
      <c r="X21" s="30" t="e">
        <f t="shared" si="1"/>
        <v>#REF!</v>
      </c>
    </row>
    <row r="22" spans="1:24" ht="15" customHeight="1">
      <c r="A22" s="53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 t="e">
        <f>#REF!+80</f>
        <v>#REF!</v>
      </c>
      <c r="I22" s="23" t="e">
        <f>(H22+27)*1.015</f>
        <v>#REF!</v>
      </c>
      <c r="J22" s="114"/>
      <c r="K22" s="58"/>
      <c r="L22" s="34"/>
      <c r="M22" s="34"/>
      <c r="N22" s="58"/>
      <c r="O22" s="23"/>
      <c r="P22" s="34"/>
      <c r="Q22" s="58"/>
      <c r="R22" s="23"/>
      <c r="S22" s="34"/>
      <c r="T22" s="34"/>
      <c r="U22" s="34"/>
      <c r="V22" s="34"/>
      <c r="W22" s="30" t="e">
        <f>AVERAGE(H22,K22,N22,Q22,T22)</f>
        <v>#REF!</v>
      </c>
      <c r="X22" s="30" t="e">
        <f t="shared" si="1"/>
        <v>#REF!</v>
      </c>
    </row>
    <row r="23" spans="1:24" ht="15" customHeight="1">
      <c r="A23" s="53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 t="e">
        <f>#REF!+80</f>
        <v>#REF!</v>
      </c>
      <c r="I23" s="23" t="e">
        <f>(H23+27)*1.015</f>
        <v>#REF!</v>
      </c>
      <c r="J23" s="114"/>
      <c r="K23" s="58"/>
      <c r="L23" s="34"/>
      <c r="M23" s="34"/>
      <c r="N23" s="58"/>
      <c r="O23" s="23"/>
      <c r="P23" s="34"/>
      <c r="Q23" s="58"/>
      <c r="R23" s="23"/>
      <c r="S23" s="34"/>
      <c r="T23" s="34"/>
      <c r="U23" s="34"/>
      <c r="V23" s="34"/>
      <c r="W23" s="30" t="e">
        <f t="shared" si="0"/>
        <v>#REF!</v>
      </c>
      <c r="X23" s="30" t="e">
        <f t="shared" si="1"/>
        <v>#REF!</v>
      </c>
    </row>
    <row r="24" spans="1:24" s="104" customFormat="1" ht="24.75" customHeight="1">
      <c r="A24" s="53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24">
        <f>H26*0.75+H28*0.25</f>
        <v>305</v>
      </c>
      <c r="I24" s="24">
        <f>I26*0.75+I28*0.25</f>
        <v>322.92224999999996</v>
      </c>
      <c r="J24" s="36"/>
      <c r="K24" s="24">
        <f>K26*0.75+K28*0.25</f>
        <v>317.5</v>
      </c>
      <c r="L24" s="24">
        <f>L26*0.75+L28*0.25</f>
        <v>335.73662499999995</v>
      </c>
      <c r="M24" s="29"/>
      <c r="N24" s="24">
        <f>N26*0.75+N28*0.25</f>
        <v>321.25</v>
      </c>
      <c r="O24" s="24">
        <f>O26*0.75+O28*0.25</f>
        <v>339.58093749999995</v>
      </c>
      <c r="P24" s="29"/>
      <c r="Q24" s="24">
        <f>Q26*0.75+Q28*0.25</f>
        <v>315</v>
      </c>
      <c r="R24" s="24">
        <f>R26*0.75+R28*0.25</f>
        <v>333.17375</v>
      </c>
      <c r="S24" s="29"/>
      <c r="T24" s="24">
        <f>T26*0.75+T28*0.25</f>
        <v>321.25</v>
      </c>
      <c r="U24" s="24">
        <f>U26*0.75+U28*0.25</f>
        <v>339.58093749999995</v>
      </c>
      <c r="V24" s="29"/>
      <c r="W24" s="22">
        <f t="shared" si="0"/>
        <v>316</v>
      </c>
      <c r="X24" s="22">
        <f t="shared" si="1"/>
        <v>334.1988999999999</v>
      </c>
    </row>
    <row r="25" spans="1:24" ht="15" customHeight="1">
      <c r="A25" s="53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23">
        <v>325</v>
      </c>
      <c r="I25" s="23">
        <f>(H25+10)*1.015*1.01</f>
        <v>343.42525</v>
      </c>
      <c r="J25" s="23" t="s">
        <v>99</v>
      </c>
      <c r="K25" s="23">
        <v>320</v>
      </c>
      <c r="L25" s="23">
        <f aca="true" t="shared" si="2" ref="L25:L31">(K25+10)*1.015*1.01</f>
        <v>338.29949999999997</v>
      </c>
      <c r="M25" s="23"/>
      <c r="N25" s="23">
        <v>335</v>
      </c>
      <c r="O25" s="23">
        <f>(N25+10)*1.015*1.01</f>
        <v>353.67674999999997</v>
      </c>
      <c r="P25" s="23"/>
      <c r="Q25" s="23">
        <v>320</v>
      </c>
      <c r="R25" s="23">
        <f>(Q25+10)*1.015*1.01</f>
        <v>338.29949999999997</v>
      </c>
      <c r="S25" s="23" t="s">
        <v>211</v>
      </c>
      <c r="T25" s="23">
        <v>335</v>
      </c>
      <c r="U25" s="23">
        <f>(T25+10)*1.015*1.01</f>
        <v>353.67674999999997</v>
      </c>
      <c r="V25" s="23"/>
      <c r="W25" s="30">
        <f t="shared" si="0"/>
        <v>327</v>
      </c>
      <c r="X25" s="30">
        <f t="shared" si="0"/>
        <v>345.47555</v>
      </c>
    </row>
    <row r="26" spans="1:24" ht="15" customHeight="1">
      <c r="A26" s="53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23">
        <v>300</v>
      </c>
      <c r="I26" s="23">
        <f>(H26+10)*1.015*1.01</f>
        <v>317.7965</v>
      </c>
      <c r="J26" s="23" t="s">
        <v>99</v>
      </c>
      <c r="K26" s="23">
        <v>305</v>
      </c>
      <c r="L26" s="23">
        <f t="shared" si="2"/>
        <v>322.92224999999996</v>
      </c>
      <c r="M26" s="23"/>
      <c r="N26" s="23">
        <v>310</v>
      </c>
      <c r="O26" s="23">
        <f>(N26+10)*1.015*1.01</f>
        <v>328.04799999999994</v>
      </c>
      <c r="P26" s="23"/>
      <c r="Q26" s="23">
        <v>305</v>
      </c>
      <c r="R26" s="23">
        <f>(Q26+10)*1.015*1.01</f>
        <v>322.92224999999996</v>
      </c>
      <c r="S26" s="23" t="s">
        <v>211</v>
      </c>
      <c r="T26" s="23">
        <v>315</v>
      </c>
      <c r="U26" s="23">
        <f>(T26+10)*1.015*1.01</f>
        <v>333.1737499999999</v>
      </c>
      <c r="V26" s="23"/>
      <c r="W26" s="30">
        <f t="shared" si="0"/>
        <v>307</v>
      </c>
      <c r="X26" s="30">
        <f t="shared" si="0"/>
        <v>324.97254999999996</v>
      </c>
    </row>
    <row r="27" spans="1:24" ht="15" customHeight="1">
      <c r="A27" s="53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23">
        <v>360</v>
      </c>
      <c r="I27" s="23">
        <f>(H27+10)*1.015*1.01</f>
        <v>379.30549999999994</v>
      </c>
      <c r="J27" s="23" t="s">
        <v>265</v>
      </c>
      <c r="K27" s="23">
        <v>360</v>
      </c>
      <c r="L27" s="23">
        <f t="shared" si="2"/>
        <v>379.30549999999994</v>
      </c>
      <c r="M27" s="23"/>
      <c r="N27" s="23">
        <v>370</v>
      </c>
      <c r="O27" s="23">
        <f>(N27+10)*1.015*1.01</f>
        <v>389.557</v>
      </c>
      <c r="P27" s="23"/>
      <c r="Q27" s="23">
        <v>360</v>
      </c>
      <c r="R27" s="23">
        <f>(Q27+10)*1.015*1.01</f>
        <v>379.30549999999994</v>
      </c>
      <c r="S27" s="23" t="s">
        <v>211</v>
      </c>
      <c r="T27" s="23">
        <v>360</v>
      </c>
      <c r="U27" s="23">
        <f>(T27+10)*1.015*1.01</f>
        <v>379.30549999999994</v>
      </c>
      <c r="V27" s="23"/>
      <c r="W27" s="30">
        <f t="shared" si="0"/>
        <v>362</v>
      </c>
      <c r="X27" s="30">
        <f t="shared" si="0"/>
        <v>381.35579999999993</v>
      </c>
    </row>
    <row r="28" spans="1:24" ht="15" customHeight="1">
      <c r="A28" s="53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23">
        <v>320</v>
      </c>
      <c r="I28" s="23">
        <f>(H28+10)*1.015*1.01</f>
        <v>338.29949999999997</v>
      </c>
      <c r="J28" s="23" t="s">
        <v>265</v>
      </c>
      <c r="K28" s="23">
        <v>355</v>
      </c>
      <c r="L28" s="23">
        <f t="shared" si="2"/>
        <v>374.17974999999996</v>
      </c>
      <c r="M28" s="23"/>
      <c r="N28" s="23">
        <v>355</v>
      </c>
      <c r="O28" s="23">
        <f>(N28+10)*1.015*1.01</f>
        <v>374.17974999999996</v>
      </c>
      <c r="P28" s="23"/>
      <c r="Q28" s="23">
        <v>345</v>
      </c>
      <c r="R28" s="23">
        <f>(Q28+10)*1.015*1.01</f>
        <v>363.92825</v>
      </c>
      <c r="S28" s="23" t="s">
        <v>211</v>
      </c>
      <c r="T28" s="23">
        <v>340</v>
      </c>
      <c r="U28" s="23">
        <f>(T28+10)*1.015*1.01</f>
        <v>358.80249999999995</v>
      </c>
      <c r="V28" s="23"/>
      <c r="W28" s="30">
        <f t="shared" si="0"/>
        <v>343</v>
      </c>
      <c r="X28" s="30">
        <f t="shared" si="0"/>
        <v>361.87794999999994</v>
      </c>
    </row>
    <row r="29" spans="1:24" s="105" customFormat="1" ht="15" customHeight="1" hidden="1">
      <c r="A29" s="53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110"/>
      <c r="I29" s="38">
        <v>6.37</v>
      </c>
      <c r="J29" s="26"/>
      <c r="K29" s="115"/>
      <c r="L29" s="58">
        <f t="shared" si="2"/>
        <v>10.251499999999998</v>
      </c>
      <c r="M29" s="26"/>
      <c r="N29" s="26"/>
      <c r="O29" s="38">
        <v>6.37</v>
      </c>
      <c r="P29" s="26"/>
      <c r="Q29" s="26"/>
      <c r="R29" s="38">
        <v>6.37</v>
      </c>
      <c r="S29" s="26"/>
      <c r="T29" s="110"/>
      <c r="U29" s="38">
        <v>6.37</v>
      </c>
      <c r="V29" s="26"/>
      <c r="W29" s="42"/>
      <c r="X29" s="42">
        <f t="shared" si="1"/>
        <v>7.146299999999999</v>
      </c>
    </row>
    <row r="30" spans="1:24" s="105" customFormat="1" ht="15" customHeight="1" hidden="1">
      <c r="A30" s="53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110"/>
      <c r="I30" s="38">
        <v>6.75</v>
      </c>
      <c r="J30" s="26"/>
      <c r="K30" s="115"/>
      <c r="L30" s="58">
        <f t="shared" si="2"/>
        <v>10.251499999999998</v>
      </c>
      <c r="M30" s="26"/>
      <c r="N30" s="26"/>
      <c r="O30" s="38">
        <v>6.75</v>
      </c>
      <c r="P30" s="26"/>
      <c r="Q30" s="26"/>
      <c r="R30" s="38">
        <v>6.75</v>
      </c>
      <c r="S30" s="26"/>
      <c r="T30" s="110"/>
      <c r="U30" s="38">
        <v>6.75</v>
      </c>
      <c r="V30" s="26"/>
      <c r="W30" s="42"/>
      <c r="X30" s="42">
        <f t="shared" si="1"/>
        <v>7.4503</v>
      </c>
    </row>
    <row r="31" spans="1:24" s="105" customFormat="1" ht="15" customHeight="1" hidden="1">
      <c r="A31" s="53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110"/>
      <c r="I31" s="38">
        <v>5.75</v>
      </c>
      <c r="J31" s="26"/>
      <c r="K31" s="115"/>
      <c r="L31" s="58">
        <f t="shared" si="2"/>
        <v>10.251499999999998</v>
      </c>
      <c r="M31" s="26"/>
      <c r="N31" s="26"/>
      <c r="O31" s="38">
        <v>5.75</v>
      </c>
      <c r="P31" s="26"/>
      <c r="Q31" s="26"/>
      <c r="R31" s="38">
        <v>5.75</v>
      </c>
      <c r="S31" s="26"/>
      <c r="T31" s="110"/>
      <c r="U31" s="38">
        <v>5.75</v>
      </c>
      <c r="V31" s="26"/>
      <c r="W31" s="42"/>
      <c r="X31" s="42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19"/>
      <c r="C3" s="19"/>
      <c r="D3" s="19"/>
      <c r="E3" s="19"/>
      <c r="F3" s="19"/>
      <c r="G3" s="19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6" t="s">
        <v>13</v>
      </c>
      <c r="S4" s="9"/>
      <c r="T4" s="20" t="s">
        <v>80</v>
      </c>
    </row>
    <row r="5" spans="1:20" ht="27.75" customHeight="1">
      <c r="A5" s="53"/>
      <c r="B5" s="53"/>
      <c r="C5" s="108"/>
      <c r="D5" s="109"/>
      <c r="E5" s="53"/>
      <c r="F5" s="53"/>
      <c r="G5" s="53"/>
      <c r="H5" s="6" t="s">
        <v>14</v>
      </c>
      <c r="I5" s="6" t="s">
        <v>15</v>
      </c>
      <c r="J5" s="6" t="s">
        <v>14</v>
      </c>
      <c r="K5" s="6" t="s">
        <v>15</v>
      </c>
      <c r="L5" s="6" t="s">
        <v>14</v>
      </c>
      <c r="M5" s="6" t="s">
        <v>15</v>
      </c>
      <c r="N5" s="6" t="s">
        <v>14</v>
      </c>
      <c r="O5" s="6" t="s">
        <v>15</v>
      </c>
      <c r="P5" s="6" t="s">
        <v>14</v>
      </c>
      <c r="Q5" s="6" t="s">
        <v>15</v>
      </c>
      <c r="R5" s="6" t="s">
        <v>14</v>
      </c>
      <c r="S5" s="6" t="s">
        <v>15</v>
      </c>
      <c r="T5" s="20"/>
    </row>
    <row r="6" spans="1:20" s="104" customFormat="1" ht="23.25" customHeight="1">
      <c r="A6" s="53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7" t="s">
        <v>21</v>
      </c>
      <c r="H6" s="22" t="e">
        <f>#REF!</f>
        <v>#REF!</v>
      </c>
      <c r="I6" s="22" t="e">
        <f>#REF!</f>
        <v>#REF!</v>
      </c>
      <c r="J6" s="22">
        <f>'宁波2'!T38</f>
        <v>0</v>
      </c>
      <c r="K6" s="22">
        <f>'宁波2'!U38</f>
        <v>0</v>
      </c>
      <c r="L6" s="22">
        <f>'温州11'!W36</f>
        <v>2314</v>
      </c>
      <c r="M6" s="22">
        <f>'温州11'!X36</f>
        <v>2379.16</v>
      </c>
      <c r="N6" s="22">
        <f>'嘉兴s'!AC6</f>
        <v>2136.8</v>
      </c>
      <c r="O6" s="22">
        <f>'嘉兴s'!AD6</f>
        <v>2196.2569999999996</v>
      </c>
      <c r="P6" s="22" t="e">
        <f>'湖州s'!W5</f>
        <v>#REF!</v>
      </c>
      <c r="Q6" s="22" t="e">
        <f>'湖州s'!X5</f>
        <v>#REF!</v>
      </c>
      <c r="R6" s="22" t="e">
        <f>'绍兴1s'!Q35</f>
        <v>#REF!</v>
      </c>
      <c r="S6" s="22" t="e">
        <f>'绍兴1s'!R35</f>
        <v>#REF!</v>
      </c>
      <c r="T6" s="7">
        <v>17</v>
      </c>
    </row>
    <row r="7" spans="1:24" ht="26.25" customHeight="1">
      <c r="A7" s="53">
        <v>2</v>
      </c>
      <c r="B7" s="9"/>
      <c r="C7" s="9"/>
      <c r="D7" s="10" t="s">
        <v>22</v>
      </c>
      <c r="E7" s="9"/>
      <c r="F7" s="10" t="s">
        <v>23</v>
      </c>
      <c r="G7" s="9" t="s">
        <v>21</v>
      </c>
      <c r="H7" s="30" t="e">
        <f>#REF!</f>
        <v>#REF!</v>
      </c>
      <c r="I7" s="30" t="e">
        <f>#REF!</f>
        <v>#REF!</v>
      </c>
      <c r="J7" s="30">
        <f>'宁波2'!T39</f>
        <v>0</v>
      </c>
      <c r="K7" s="30">
        <f>'宁波2'!U39</f>
        <v>0</v>
      </c>
      <c r="L7" s="30">
        <f>'温州11'!W37</f>
        <v>2314</v>
      </c>
      <c r="M7" s="30">
        <f>'温州11'!X37</f>
        <v>2379.16</v>
      </c>
      <c r="N7" s="30">
        <f>'嘉兴s'!AC7</f>
        <v>2130</v>
      </c>
      <c r="O7" s="30">
        <f>'嘉兴s'!AD7</f>
        <v>2189.3549999999996</v>
      </c>
      <c r="P7" s="30" t="e">
        <f>'湖州s'!W6</f>
        <v>#REF!</v>
      </c>
      <c r="Q7" s="30" t="e">
        <f>'湖州s'!X6</f>
        <v>#REF!</v>
      </c>
      <c r="R7" s="30" t="e">
        <f>'绍兴1s'!Q36</f>
        <v>#REF!</v>
      </c>
      <c r="S7" s="30" t="e">
        <f>'绍兴1s'!R36</f>
        <v>#REF!</v>
      </c>
      <c r="T7" s="9">
        <v>17</v>
      </c>
      <c r="X7" s="400"/>
    </row>
    <row r="8" spans="1:24" ht="12" customHeight="1">
      <c r="A8" s="53">
        <v>3</v>
      </c>
      <c r="B8" s="9"/>
      <c r="C8" s="9"/>
      <c r="D8" s="10" t="s">
        <v>24</v>
      </c>
      <c r="E8" s="9"/>
      <c r="F8" s="10" t="s">
        <v>25</v>
      </c>
      <c r="G8" s="9" t="s">
        <v>21</v>
      </c>
      <c r="H8" s="30" t="e">
        <f>#REF!</f>
        <v>#REF!</v>
      </c>
      <c r="I8" s="30" t="e">
        <f>#REF!</f>
        <v>#REF!</v>
      </c>
      <c r="J8" s="30">
        <f>'宁波2'!T40</f>
        <v>0</v>
      </c>
      <c r="K8" s="30">
        <f>'宁波2'!U40</f>
        <v>0</v>
      </c>
      <c r="L8" s="30">
        <f>'温州11'!W38</f>
        <v>2314</v>
      </c>
      <c r="M8" s="30">
        <f>'温州11'!X38</f>
        <v>2379.16</v>
      </c>
      <c r="N8" s="30">
        <f>'嘉兴s'!AC8</f>
        <v>2164</v>
      </c>
      <c r="O8" s="30">
        <f>'嘉兴s'!AD8</f>
        <v>2223.865</v>
      </c>
      <c r="P8" s="30" t="e">
        <f>'湖州s'!W7</f>
        <v>#REF!</v>
      </c>
      <c r="Q8" s="30" t="e">
        <f>'湖州s'!X7</f>
        <v>#REF!</v>
      </c>
      <c r="R8" s="30" t="e">
        <f>'绍兴1s'!Q37</f>
        <v>#REF!</v>
      </c>
      <c r="S8" s="30" t="e">
        <f>'绍兴1s'!R37</f>
        <v>#REF!</v>
      </c>
      <c r="T8" s="9">
        <v>17</v>
      </c>
      <c r="X8" s="400"/>
    </row>
    <row r="9" spans="1:24" s="104" customFormat="1" ht="36" customHeight="1">
      <c r="A9" s="53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7" t="s">
        <v>21</v>
      </c>
      <c r="H9" s="22" t="e">
        <f>#REF!</f>
        <v>#REF!</v>
      </c>
      <c r="I9" s="22" t="e">
        <f>#REF!</f>
        <v>#REF!</v>
      </c>
      <c r="J9" s="22">
        <f>'宁波2'!T41</f>
        <v>0</v>
      </c>
      <c r="K9" s="22">
        <f>'宁波2'!U41</f>
        <v>0</v>
      </c>
      <c r="L9" s="22">
        <f>'温州11'!W39</f>
        <v>2111.4</v>
      </c>
      <c r="M9" s="22">
        <f>'温州11'!X39</f>
        <v>2173.5209999999997</v>
      </c>
      <c r="N9" s="22">
        <f>'嘉兴s'!AC9</f>
        <v>1920.7</v>
      </c>
      <c r="O9" s="22">
        <f>'嘉兴s'!AD9</f>
        <v>1976.9154999999998</v>
      </c>
      <c r="P9" s="22" t="e">
        <f>'湖州s'!W8</f>
        <v>#REF!</v>
      </c>
      <c r="Q9" s="22" t="e">
        <f>'湖州s'!X8</f>
        <v>#REF!</v>
      </c>
      <c r="R9" s="22" t="e">
        <f>'绍兴1s'!Q38</f>
        <v>#REF!</v>
      </c>
      <c r="S9" s="22" t="e">
        <f>'绍兴1s'!R38</f>
        <v>#REF!</v>
      </c>
      <c r="T9" s="7">
        <v>17</v>
      </c>
      <c r="X9" s="400"/>
    </row>
    <row r="10" spans="1:24" ht="12" customHeight="1">
      <c r="A10" s="53">
        <v>5</v>
      </c>
      <c r="B10" s="9"/>
      <c r="C10" s="9"/>
      <c r="D10" s="10" t="s">
        <v>29</v>
      </c>
      <c r="E10" s="9"/>
      <c r="F10" s="10" t="s">
        <v>30</v>
      </c>
      <c r="G10" s="9" t="s">
        <v>21</v>
      </c>
      <c r="H10" s="30" t="e">
        <f>#REF!</f>
        <v>#REF!</v>
      </c>
      <c r="I10" s="30" t="e">
        <f>#REF!</f>
        <v>#REF!</v>
      </c>
      <c r="J10" s="30">
        <f>'宁波2'!T42</f>
        <v>0</v>
      </c>
      <c r="K10" s="30">
        <f>'宁波2'!U42</f>
        <v>0</v>
      </c>
      <c r="L10" s="30">
        <f>'温州11'!W40</f>
        <v>2238</v>
      </c>
      <c r="M10" s="30">
        <f>'温州11'!X40</f>
        <v>2302.02</v>
      </c>
      <c r="N10" s="30">
        <f>'嘉兴s'!AC10</f>
        <v>1940</v>
      </c>
      <c r="O10" s="30">
        <f>'嘉兴s'!AD10</f>
        <v>1996.5049999999999</v>
      </c>
      <c r="P10" s="30" t="e">
        <f>'湖州s'!W9</f>
        <v>#REF!</v>
      </c>
      <c r="Q10" s="30" t="e">
        <f>'湖州s'!X9</f>
        <v>#REF!</v>
      </c>
      <c r="R10" s="30" t="e">
        <f>'绍兴1s'!Q39</f>
        <v>#REF!</v>
      </c>
      <c r="S10" s="30" t="e">
        <f>'绍兴1s'!R39</f>
        <v>#REF!</v>
      </c>
      <c r="T10" s="9">
        <v>17</v>
      </c>
      <c r="X10" s="400"/>
    </row>
    <row r="11" spans="1:24" ht="12" customHeight="1">
      <c r="A11" s="53">
        <v>6</v>
      </c>
      <c r="B11" s="9"/>
      <c r="C11" s="9"/>
      <c r="D11" s="10" t="s">
        <v>29</v>
      </c>
      <c r="E11" s="9"/>
      <c r="F11" s="10" t="s">
        <v>31</v>
      </c>
      <c r="G11" s="9" t="s">
        <v>21</v>
      </c>
      <c r="H11" s="30" t="e">
        <f>#REF!</f>
        <v>#REF!</v>
      </c>
      <c r="I11" s="30" t="e">
        <f>#REF!</f>
        <v>#REF!</v>
      </c>
      <c r="J11" s="30">
        <f>'宁波2'!T43</f>
        <v>0</v>
      </c>
      <c r="K11" s="30">
        <f>'宁波2'!U43</f>
        <v>0</v>
      </c>
      <c r="L11" s="30">
        <f>'温州11'!W41</f>
        <v>2168</v>
      </c>
      <c r="M11" s="30">
        <f>'温州11'!X41</f>
        <v>2230.97</v>
      </c>
      <c r="N11" s="30">
        <f>'嘉兴s'!AC11</f>
        <v>1930</v>
      </c>
      <c r="O11" s="30">
        <f>'嘉兴s'!AD11</f>
        <v>1986.3549999999998</v>
      </c>
      <c r="P11" s="30" t="e">
        <f>'湖州s'!W10</f>
        <v>#REF!</v>
      </c>
      <c r="Q11" s="30" t="e">
        <f>'湖州s'!X10</f>
        <v>#REF!</v>
      </c>
      <c r="R11" s="30" t="e">
        <f>'绍兴1s'!Q40</f>
        <v>#REF!</v>
      </c>
      <c r="S11" s="30" t="e">
        <f>'绍兴1s'!R40</f>
        <v>#REF!</v>
      </c>
      <c r="T11" s="9">
        <v>17</v>
      </c>
      <c r="X11" s="400"/>
    </row>
    <row r="12" spans="1:24" ht="12" customHeight="1">
      <c r="A12" s="53">
        <v>7</v>
      </c>
      <c r="B12" s="9"/>
      <c r="C12" s="9"/>
      <c r="D12" s="10" t="s">
        <v>29</v>
      </c>
      <c r="E12" s="9"/>
      <c r="F12" s="10" t="s">
        <v>32</v>
      </c>
      <c r="G12" s="9" t="s">
        <v>21</v>
      </c>
      <c r="H12" s="30" t="e">
        <f>#REF!</f>
        <v>#REF!</v>
      </c>
      <c r="I12" s="30" t="e">
        <f>#REF!</f>
        <v>#REF!</v>
      </c>
      <c r="J12" s="30">
        <f>'宁波2'!T44</f>
        <v>0</v>
      </c>
      <c r="K12" s="30">
        <f>'宁波2'!U44</f>
        <v>0</v>
      </c>
      <c r="L12" s="30">
        <f>'温州11'!W42</f>
        <v>1998</v>
      </c>
      <c r="M12" s="30">
        <f>'温州11'!X42</f>
        <v>2058.4199999999996</v>
      </c>
      <c r="N12" s="30">
        <f>'嘉兴s'!AC12</f>
        <v>1930</v>
      </c>
      <c r="O12" s="30">
        <f>'嘉兴s'!AD12</f>
        <v>1986.3549999999998</v>
      </c>
      <c r="P12" s="30" t="e">
        <f>'湖州s'!W11</f>
        <v>#REF!</v>
      </c>
      <c r="Q12" s="30" t="e">
        <f>'湖州s'!X11</f>
        <v>#REF!</v>
      </c>
      <c r="R12" s="30" t="e">
        <f>'绍兴1s'!Q41</f>
        <v>#REF!</v>
      </c>
      <c r="S12" s="30" t="e">
        <f>'绍兴1s'!R41</f>
        <v>#REF!</v>
      </c>
      <c r="T12" s="9">
        <v>17</v>
      </c>
      <c r="X12" s="400"/>
    </row>
    <row r="13" spans="1:24" ht="12" customHeight="1">
      <c r="A13" s="53">
        <v>8</v>
      </c>
      <c r="B13" s="9"/>
      <c r="C13" s="9"/>
      <c r="D13" s="10" t="s">
        <v>29</v>
      </c>
      <c r="E13" s="9"/>
      <c r="F13" s="10" t="s">
        <v>33</v>
      </c>
      <c r="G13" s="9" t="s">
        <v>21</v>
      </c>
      <c r="H13" s="30" t="e">
        <f>#REF!</f>
        <v>#REF!</v>
      </c>
      <c r="I13" s="30" t="e">
        <f>#REF!</f>
        <v>#REF!</v>
      </c>
      <c r="J13" s="30">
        <f>'宁波2'!T45</f>
        <v>0</v>
      </c>
      <c r="K13" s="30">
        <f>'宁波2'!U45</f>
        <v>0</v>
      </c>
      <c r="L13" s="30">
        <f>'温州11'!W43</f>
        <v>2128</v>
      </c>
      <c r="M13" s="30">
        <f>'温州11'!X43</f>
        <v>2190.37</v>
      </c>
      <c r="N13" s="30">
        <f>'嘉兴s'!AC13</f>
        <v>1900</v>
      </c>
      <c r="O13" s="30">
        <f>'嘉兴s'!AD13</f>
        <v>1955.9049999999997</v>
      </c>
      <c r="P13" s="30" t="e">
        <f>'湖州s'!W12</f>
        <v>#REF!</v>
      </c>
      <c r="Q13" s="30" t="e">
        <f>'湖州s'!X12</f>
        <v>#REF!</v>
      </c>
      <c r="R13" s="30" t="e">
        <f>'绍兴1s'!Q42</f>
        <v>#REF!</v>
      </c>
      <c r="S13" s="30" t="e">
        <f>'绍兴1s'!R42</f>
        <v>#REF!</v>
      </c>
      <c r="T13" s="9">
        <v>17</v>
      </c>
      <c r="X13" s="400"/>
    </row>
    <row r="14" spans="1:24" s="104" customFormat="1" ht="24" customHeight="1">
      <c r="A14" s="53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7" t="s">
        <v>21</v>
      </c>
      <c r="H14" s="22" t="e">
        <f>#REF!</f>
        <v>#REF!</v>
      </c>
      <c r="I14" s="22" t="e">
        <f>#REF!</f>
        <v>#REF!</v>
      </c>
      <c r="J14" s="22">
        <f>'宁波2'!T46</f>
        <v>0</v>
      </c>
      <c r="K14" s="22">
        <f>'宁波2'!U46</f>
        <v>0</v>
      </c>
      <c r="L14" s="22">
        <f>'温州11'!W44</f>
        <v>2296.3</v>
      </c>
      <c r="M14" s="22">
        <f>'温州11'!X44</f>
        <v>2361.1944999999996</v>
      </c>
      <c r="N14" s="22">
        <f>'嘉兴s'!AC14</f>
        <v>2246.3</v>
      </c>
      <c r="O14" s="22">
        <f>'嘉兴s'!AD14</f>
        <v>2307.3995</v>
      </c>
      <c r="P14" s="22" t="e">
        <f>'湖州s'!W13</f>
        <v>#REF!</v>
      </c>
      <c r="Q14" s="22" t="e">
        <f>'湖州s'!X13</f>
        <v>#REF!</v>
      </c>
      <c r="R14" s="22" t="e">
        <f>'绍兴1s'!Q43</f>
        <v>#REF!</v>
      </c>
      <c r="S14" s="22" t="e">
        <f>'绍兴1s'!R43</f>
        <v>#REF!</v>
      </c>
      <c r="T14" s="9">
        <v>17</v>
      </c>
      <c r="X14" s="400"/>
    </row>
    <row r="15" spans="1:24" ht="12" customHeight="1">
      <c r="A15" s="53">
        <v>10</v>
      </c>
      <c r="B15" s="9"/>
      <c r="C15" s="9"/>
      <c r="D15" s="10" t="s">
        <v>37</v>
      </c>
      <c r="E15" s="9"/>
      <c r="F15" s="13" t="s">
        <v>38</v>
      </c>
      <c r="G15" s="9" t="s">
        <v>21</v>
      </c>
      <c r="H15" s="30" t="e">
        <f>#REF!</f>
        <v>#REF!</v>
      </c>
      <c r="I15" s="30" t="e">
        <f>#REF!</f>
        <v>#REF!</v>
      </c>
      <c r="J15" s="30">
        <f>'宁波2'!T47</f>
        <v>0</v>
      </c>
      <c r="K15" s="30">
        <f>'宁波2'!U47</f>
        <v>0</v>
      </c>
      <c r="L15" s="30">
        <f>'温州11'!W45</f>
        <v>2250</v>
      </c>
      <c r="M15" s="30">
        <f>'温州11'!X45</f>
        <v>2314.2</v>
      </c>
      <c r="N15" s="30">
        <f>'嘉兴s'!AC15</f>
        <v>2200</v>
      </c>
      <c r="O15" s="30">
        <f>'嘉兴s'!AD15</f>
        <v>2260.4049999999997</v>
      </c>
      <c r="P15" s="30" t="e">
        <f>'湖州s'!W14</f>
        <v>#REF!</v>
      </c>
      <c r="Q15" s="30" t="e">
        <f>'湖州s'!X14</f>
        <v>#REF!</v>
      </c>
      <c r="R15" s="30" t="e">
        <f>'绍兴1s'!Q44</f>
        <v>#REF!</v>
      </c>
      <c r="S15" s="30" t="e">
        <f>'绍兴1s'!R44</f>
        <v>#REF!</v>
      </c>
      <c r="T15" s="9">
        <v>17</v>
      </c>
      <c r="X15" s="400"/>
    </row>
    <row r="16" spans="1:24" ht="12" customHeight="1">
      <c r="A16" s="53">
        <v>11</v>
      </c>
      <c r="B16" s="9"/>
      <c r="C16" s="9"/>
      <c r="D16" s="10" t="s">
        <v>39</v>
      </c>
      <c r="E16" s="9"/>
      <c r="F16" s="13" t="s">
        <v>40</v>
      </c>
      <c r="G16" s="9" t="s">
        <v>21</v>
      </c>
      <c r="H16" s="30" t="e">
        <f>#REF!</f>
        <v>#REF!</v>
      </c>
      <c r="I16" s="30" t="e">
        <f>#REF!</f>
        <v>#REF!</v>
      </c>
      <c r="J16" s="30">
        <f>'宁波2'!T48</f>
        <v>0</v>
      </c>
      <c r="K16" s="30">
        <f>'宁波2'!U48</f>
        <v>0</v>
      </c>
      <c r="L16" s="30">
        <f>'温州11'!W46</f>
        <v>2320</v>
      </c>
      <c r="M16" s="30">
        <f>'温州11'!X46</f>
        <v>2385.2499999999995</v>
      </c>
      <c r="N16" s="30">
        <f>'嘉兴s'!AC16</f>
        <v>2270</v>
      </c>
      <c r="O16" s="30">
        <f>'嘉兴s'!AD16</f>
        <v>2331.455</v>
      </c>
      <c r="P16" s="30" t="e">
        <f>'湖州s'!W15</f>
        <v>#REF!</v>
      </c>
      <c r="Q16" s="30" t="e">
        <f>'湖州s'!X15</f>
        <v>#REF!</v>
      </c>
      <c r="R16" s="30" t="e">
        <f>'绍兴1s'!Q45</f>
        <v>#REF!</v>
      </c>
      <c r="S16" s="30" t="e">
        <f>'绍兴1s'!R45</f>
        <v>#REF!</v>
      </c>
      <c r="T16" s="9">
        <v>17</v>
      </c>
      <c r="X16" s="400"/>
    </row>
    <row r="17" spans="1:24" ht="12" customHeight="1">
      <c r="A17" s="53">
        <v>12</v>
      </c>
      <c r="B17" s="9"/>
      <c r="C17" s="9"/>
      <c r="D17" s="10" t="s">
        <v>41</v>
      </c>
      <c r="E17" s="9"/>
      <c r="F17" s="13" t="s">
        <v>42</v>
      </c>
      <c r="G17" s="9" t="s">
        <v>21</v>
      </c>
      <c r="H17" s="30" t="e">
        <f>#REF!</f>
        <v>#REF!</v>
      </c>
      <c r="I17" s="30" t="e">
        <f>#REF!</f>
        <v>#REF!</v>
      </c>
      <c r="J17" s="30">
        <f>'宁波2'!T49</f>
        <v>0</v>
      </c>
      <c r="K17" s="30">
        <f>'宁波2'!U49</f>
        <v>0</v>
      </c>
      <c r="L17" s="30">
        <f>'温州11'!W47</f>
        <v>2240</v>
      </c>
      <c r="M17" s="30">
        <f>'温州11'!X47</f>
        <v>2304.0499999999997</v>
      </c>
      <c r="N17" s="30">
        <f>'嘉兴s'!AC17</f>
        <v>2190</v>
      </c>
      <c r="O17" s="30">
        <f>'嘉兴s'!AD17</f>
        <v>2250.2549999999997</v>
      </c>
      <c r="P17" s="30" t="e">
        <f>'湖州s'!W16</f>
        <v>#REF!</v>
      </c>
      <c r="Q17" s="30" t="e">
        <f>'湖州s'!X16</f>
        <v>#REF!</v>
      </c>
      <c r="R17" s="30" t="e">
        <f>'绍兴1s'!Q46</f>
        <v>#REF!</v>
      </c>
      <c r="S17" s="30" t="e">
        <f>'绍兴1s'!R46</f>
        <v>#REF!</v>
      </c>
      <c r="T17" s="9">
        <v>17</v>
      </c>
      <c r="X17" s="400"/>
    </row>
    <row r="18" spans="1:24" ht="12" customHeight="1">
      <c r="A18" s="53">
        <v>13</v>
      </c>
      <c r="B18" s="9"/>
      <c r="C18" s="6" t="s">
        <v>43</v>
      </c>
      <c r="D18" s="9"/>
      <c r="E18" s="9">
        <v>183</v>
      </c>
      <c r="F18" s="13" t="s">
        <v>44</v>
      </c>
      <c r="G18" s="9" t="s">
        <v>21</v>
      </c>
      <c r="H18" s="30" t="e">
        <f>#REF!</f>
        <v>#REF!</v>
      </c>
      <c r="I18" s="30" t="e">
        <f>#REF!</f>
        <v>#REF!</v>
      </c>
      <c r="J18" s="30">
        <f>'宁波2'!T50</f>
        <v>0</v>
      </c>
      <c r="K18" s="30">
        <f>'宁波2'!U50</f>
        <v>0</v>
      </c>
      <c r="L18" s="30">
        <f>'温州11'!W48</f>
        <v>2204</v>
      </c>
      <c r="M18" s="30">
        <f>'温州11'!X48</f>
        <v>2267.5099999999998</v>
      </c>
      <c r="N18" s="30">
        <f>'嘉兴s'!AC18</f>
        <v>2077</v>
      </c>
      <c r="O18" s="30">
        <f>'嘉兴s'!AD18</f>
        <v>2135.56</v>
      </c>
      <c r="P18" s="30" t="e">
        <f>'湖州s'!W17</f>
        <v>#REF!</v>
      </c>
      <c r="Q18" s="30" t="e">
        <f>'湖州s'!X17</f>
        <v>#REF!</v>
      </c>
      <c r="R18" s="30" t="e">
        <f>'绍兴1s'!Q47</f>
        <v>#REF!</v>
      </c>
      <c r="S18" s="30" t="e">
        <f>'绍兴1s'!R47</f>
        <v>#REF!</v>
      </c>
      <c r="T18" s="9">
        <v>17</v>
      </c>
      <c r="X18" s="400"/>
    </row>
    <row r="19" spans="1:24" s="104" customFormat="1" ht="22.5" customHeight="1">
      <c r="A19" s="5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7" t="s">
        <v>21</v>
      </c>
      <c r="H19" s="22" t="e">
        <f>#REF!</f>
        <v>#REF!</v>
      </c>
      <c r="I19" s="22" t="e">
        <f>#REF!</f>
        <v>#REF!</v>
      </c>
      <c r="J19" s="22">
        <f>'宁波2'!T51</f>
        <v>0</v>
      </c>
      <c r="K19" s="22">
        <f>'宁波2'!U51</f>
        <v>0</v>
      </c>
      <c r="L19" s="22">
        <f>'温州11'!W49</f>
        <v>2584</v>
      </c>
      <c r="M19" s="22">
        <f>'温州11'!X49</f>
        <v>2653.2099999999996</v>
      </c>
      <c r="N19" s="22">
        <f>'嘉兴s'!AC19</f>
        <v>2379.6</v>
      </c>
      <c r="O19" s="22">
        <f>'嘉兴s'!AD19</f>
        <v>2442.6989999999996</v>
      </c>
      <c r="P19" s="22" t="e">
        <f>'湖州s'!W18</f>
        <v>#REF!</v>
      </c>
      <c r="Q19" s="22" t="e">
        <f>'湖州s'!X18</f>
        <v>#REF!</v>
      </c>
      <c r="R19" s="22" t="e">
        <f>'绍兴1s'!Q48</f>
        <v>#REF!</v>
      </c>
      <c r="S19" s="22" t="e">
        <f>'绍兴1s'!R48</f>
        <v>#REF!</v>
      </c>
      <c r="T19" s="7">
        <v>17</v>
      </c>
      <c r="X19" s="400"/>
    </row>
    <row r="20" spans="1:24" ht="12" customHeight="1">
      <c r="A20" s="53">
        <v>15</v>
      </c>
      <c r="B20" s="9"/>
      <c r="C20" s="9"/>
      <c r="D20" s="10" t="s">
        <v>48</v>
      </c>
      <c r="E20" s="25"/>
      <c r="F20" s="10" t="s">
        <v>49</v>
      </c>
      <c r="G20" s="9" t="s">
        <v>21</v>
      </c>
      <c r="H20" s="30" t="e">
        <f>#REF!</f>
        <v>#REF!</v>
      </c>
      <c r="I20" s="30" t="e">
        <f>#REF!</f>
        <v>#REF!</v>
      </c>
      <c r="J20" s="30">
        <f>'宁波2'!T52</f>
        <v>0</v>
      </c>
      <c r="K20" s="30">
        <f>'宁波2'!U52</f>
        <v>0</v>
      </c>
      <c r="L20" s="30">
        <f>'温州11'!W50</f>
        <v>2434</v>
      </c>
      <c r="M20" s="30">
        <f>'温州11'!X50</f>
        <v>2500.9599999999996</v>
      </c>
      <c r="N20" s="30">
        <f>'嘉兴s'!AC20</f>
        <v>2192</v>
      </c>
      <c r="O20" s="30">
        <f>'嘉兴s'!AD20</f>
        <v>2252.285</v>
      </c>
      <c r="P20" s="30" t="e">
        <f>'湖州s'!W19</f>
        <v>#REF!</v>
      </c>
      <c r="Q20" s="30" t="e">
        <f>'湖州s'!X19</f>
        <v>#REF!</v>
      </c>
      <c r="R20" s="30" t="e">
        <f>'绍兴1s'!Q49</f>
        <v>#REF!</v>
      </c>
      <c r="S20" s="30" t="e">
        <f>'绍兴1s'!R49</f>
        <v>#REF!</v>
      </c>
      <c r="T20" s="9">
        <v>17</v>
      </c>
      <c r="X20" s="400"/>
    </row>
    <row r="21" spans="1:24" ht="12" customHeight="1">
      <c r="A21" s="53">
        <v>16</v>
      </c>
      <c r="B21" s="9"/>
      <c r="C21" s="9"/>
      <c r="D21" s="10" t="s">
        <v>50</v>
      </c>
      <c r="E21" s="25">
        <v>192</v>
      </c>
      <c r="F21" s="10" t="s">
        <v>51</v>
      </c>
      <c r="G21" s="9" t="s">
        <v>21</v>
      </c>
      <c r="H21" s="30" t="e">
        <f>#REF!</f>
        <v>#REF!</v>
      </c>
      <c r="I21" s="30" t="e">
        <f>#REF!</f>
        <v>#REF!</v>
      </c>
      <c r="J21" s="30">
        <f>'宁波2'!T53</f>
        <v>0</v>
      </c>
      <c r="K21" s="30">
        <f>'宁波2'!U53</f>
        <v>0</v>
      </c>
      <c r="L21" s="30">
        <f>'温州11'!W51</f>
        <v>2608</v>
      </c>
      <c r="M21" s="30">
        <f>'温州11'!X51</f>
        <v>2677.5699999999997</v>
      </c>
      <c r="N21" s="30">
        <f>'嘉兴s'!AC21</f>
        <v>2682</v>
      </c>
      <c r="O21" s="30">
        <f>'嘉兴s'!AD21</f>
        <v>2749.6349999999998</v>
      </c>
      <c r="P21" s="30" t="e">
        <f>'湖州s'!W20</f>
        <v>#REF!</v>
      </c>
      <c r="Q21" s="30" t="e">
        <f>'湖州s'!X20</f>
        <v>#REF!</v>
      </c>
      <c r="R21" s="30" t="e">
        <f>'绍兴1s'!Q50</f>
        <v>#REF!</v>
      </c>
      <c r="S21" s="30" t="e">
        <f>'绍兴1s'!R50</f>
        <v>#REF!</v>
      </c>
      <c r="T21" s="9">
        <v>17</v>
      </c>
      <c r="X21" s="400"/>
    </row>
    <row r="22" spans="1:24" ht="12" customHeight="1">
      <c r="A22" s="53">
        <v>17</v>
      </c>
      <c r="B22" s="9"/>
      <c r="C22" s="9"/>
      <c r="D22" s="10" t="s">
        <v>52</v>
      </c>
      <c r="E22" s="25">
        <v>191</v>
      </c>
      <c r="F22" s="10" t="s">
        <v>53</v>
      </c>
      <c r="G22" s="9" t="s">
        <v>21</v>
      </c>
      <c r="H22" s="30" t="e">
        <f>#REF!</f>
        <v>#REF!</v>
      </c>
      <c r="I22" s="30" t="e">
        <f>#REF!</f>
        <v>#REF!</v>
      </c>
      <c r="J22" s="30">
        <f>'宁波2'!T54</f>
        <v>0</v>
      </c>
      <c r="K22" s="30">
        <f>'宁波2'!U54</f>
        <v>0</v>
      </c>
      <c r="L22" s="30">
        <f>'温州11'!W52</f>
        <v>3010</v>
      </c>
      <c r="M22" s="30">
        <f>'温州11'!X52</f>
        <v>3085.6</v>
      </c>
      <c r="N22" s="30">
        <f>'嘉兴s'!AC22</f>
        <v>2640</v>
      </c>
      <c r="O22" s="30">
        <f>'嘉兴s'!AD22</f>
        <v>2707.0049999999997</v>
      </c>
      <c r="P22" s="30" t="e">
        <f>'湖州s'!W21</f>
        <v>#REF!</v>
      </c>
      <c r="Q22" s="30" t="e">
        <f>'湖州s'!X21</f>
        <v>#REF!</v>
      </c>
      <c r="R22" s="30" t="e">
        <f>'绍兴1s'!Q51</f>
        <v>#REF!</v>
      </c>
      <c r="S22" s="30" t="e">
        <f>'绍兴1s'!R51</f>
        <v>#REF!</v>
      </c>
      <c r="T22" s="9">
        <v>17</v>
      </c>
      <c r="X22" s="400"/>
    </row>
    <row r="23" spans="1:24" ht="12" customHeight="1">
      <c r="A23" s="53">
        <v>18</v>
      </c>
      <c r="B23" s="9"/>
      <c r="C23" s="10" t="s">
        <v>54</v>
      </c>
      <c r="D23" s="13"/>
      <c r="E23" s="9">
        <v>121</v>
      </c>
      <c r="F23" s="13"/>
      <c r="G23" s="9" t="s">
        <v>21</v>
      </c>
      <c r="H23" s="30" t="e">
        <f>#REF!</f>
        <v>#REF!</v>
      </c>
      <c r="I23" s="30" t="e">
        <f>#REF!</f>
        <v>#REF!</v>
      </c>
      <c r="J23" s="30">
        <f>'宁波2'!T55</f>
        <v>0</v>
      </c>
      <c r="K23" s="30">
        <f>'宁波2'!U55</f>
        <v>0</v>
      </c>
      <c r="L23" s="30">
        <f>'温州11'!W53</f>
        <v>4040</v>
      </c>
      <c r="M23" s="30">
        <f>'温州11'!X53</f>
        <v>4131.049999999999</v>
      </c>
      <c r="N23" s="30">
        <f>'嘉兴s'!AC23</f>
        <v>3500</v>
      </c>
      <c r="O23" s="30">
        <f>'嘉兴s'!AD23</f>
        <v>3579.9049999999997</v>
      </c>
      <c r="P23" s="30" t="e">
        <f>'湖州s'!W22</f>
        <v>#REF!</v>
      </c>
      <c r="Q23" s="30" t="e">
        <f>'湖州s'!X22</f>
        <v>#REF!</v>
      </c>
      <c r="R23" s="30" t="e">
        <f>'绍兴1s'!Q52</f>
        <v>#REF!</v>
      </c>
      <c r="S23" s="30" t="e">
        <f>'绍兴1s'!R52</f>
        <v>#REF!</v>
      </c>
      <c r="T23" s="9">
        <v>17</v>
      </c>
      <c r="X23" s="400"/>
    </row>
    <row r="24" spans="1:24" ht="12" customHeight="1">
      <c r="A24" s="53">
        <v>19</v>
      </c>
      <c r="B24" s="9"/>
      <c r="C24" s="10" t="s">
        <v>55</v>
      </c>
      <c r="D24" s="13"/>
      <c r="E24" s="9">
        <v>125</v>
      </c>
      <c r="F24" s="10" t="s">
        <v>56</v>
      </c>
      <c r="G24" s="9" t="s">
        <v>21</v>
      </c>
      <c r="H24" s="30" t="e">
        <f>#REF!</f>
        <v>#REF!</v>
      </c>
      <c r="I24" s="30" t="e">
        <f>#REF!</f>
        <v>#REF!</v>
      </c>
      <c r="J24" s="30">
        <f>'宁波2'!T56</f>
        <v>0</v>
      </c>
      <c r="K24" s="30">
        <f>'宁波2'!U56</f>
        <v>0</v>
      </c>
      <c r="L24" s="30">
        <f>'温州11'!W54</f>
        <v>3640</v>
      </c>
      <c r="M24" s="30">
        <f>'温州11'!X54</f>
        <v>3725.0499999999997</v>
      </c>
      <c r="N24" s="30">
        <f>'嘉兴s'!AC24</f>
        <v>3000</v>
      </c>
      <c r="O24" s="30">
        <f>'嘉兴s'!AD24</f>
        <v>3072.4049999999997</v>
      </c>
      <c r="P24" s="30" t="e">
        <f>'湖州s'!W23</f>
        <v>#REF!</v>
      </c>
      <c r="Q24" s="30" t="e">
        <f>'湖州s'!X23</f>
        <v>#REF!</v>
      </c>
      <c r="R24" s="30" t="e">
        <f>'绍兴1s'!Q53</f>
        <v>#REF!</v>
      </c>
      <c r="S24" s="30" t="e">
        <f>'绍兴1s'!R53</f>
        <v>#REF!</v>
      </c>
      <c r="T24" s="9">
        <v>17</v>
      </c>
      <c r="X24" s="400"/>
    </row>
    <row r="25" spans="1:24" s="104" customFormat="1" ht="22.5" customHeight="1">
      <c r="A25" s="9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7" t="s">
        <v>21</v>
      </c>
      <c r="H25" s="22" t="e">
        <f>#REF!</f>
        <v>#REF!</v>
      </c>
      <c r="I25" s="22" t="e">
        <f>#REF!</f>
        <v>#REF!</v>
      </c>
      <c r="J25" s="22">
        <f>'宁波2'!T57</f>
        <v>0</v>
      </c>
      <c r="K25" s="22">
        <f>'宁波2'!U57</f>
        <v>0</v>
      </c>
      <c r="L25" s="22">
        <f>'温州11'!W55</f>
        <v>323.40909090909093</v>
      </c>
      <c r="M25" s="22">
        <f>'温州11'!X55</f>
        <v>341.7600340909091</v>
      </c>
      <c r="N25" s="22">
        <f>'嘉兴s'!AC25</f>
        <v>235.17857142857144</v>
      </c>
      <c r="O25" s="22">
        <f>'嘉兴s'!AD25</f>
        <v>288.39666249999993</v>
      </c>
      <c r="P25" s="22">
        <f>'湖州s'!W24</f>
        <v>252.3</v>
      </c>
      <c r="Q25" s="22">
        <f>'湖州s'!X24</f>
        <v>269.96432749999997</v>
      </c>
      <c r="R25" s="22">
        <f>'绍兴1s'!Q54</f>
        <v>313.5416666666667</v>
      </c>
      <c r="S25" s="22">
        <f>'绍兴1s'!R54</f>
        <v>331.6787395833333</v>
      </c>
      <c r="T25" s="7">
        <v>17</v>
      </c>
      <c r="X25" s="400"/>
    </row>
    <row r="26" spans="1:20" ht="13.5" customHeight="1">
      <c r="A26" s="9">
        <v>21</v>
      </c>
      <c r="B26" s="9"/>
      <c r="C26" s="13" t="s">
        <v>60</v>
      </c>
      <c r="D26" s="13"/>
      <c r="E26" s="9">
        <v>832</v>
      </c>
      <c r="F26" s="10" t="s">
        <v>61</v>
      </c>
      <c r="G26" s="9" t="s">
        <v>21</v>
      </c>
      <c r="H26" s="30" t="e">
        <f>#REF!</f>
        <v>#REF!</v>
      </c>
      <c r="I26" s="30" t="e">
        <f>#REF!</f>
        <v>#REF!</v>
      </c>
      <c r="J26" s="30">
        <f>'宁波2'!T58</f>
        <v>0</v>
      </c>
      <c r="K26" s="30">
        <f>'宁波2'!U58</f>
        <v>0</v>
      </c>
      <c r="L26" s="30">
        <f>'温州11'!W56</f>
        <v>336</v>
      </c>
      <c r="M26" s="30">
        <f>'温州11'!X56</f>
        <v>354.66760454545454</v>
      </c>
      <c r="N26" s="30">
        <f>'嘉兴s'!AC26</f>
        <v>265.7142857142857</v>
      </c>
      <c r="O26" s="30">
        <f>'嘉兴s'!AD26</f>
        <v>300.80830000000003</v>
      </c>
      <c r="P26" s="30">
        <f>'湖州s'!W25</f>
        <v>262.6</v>
      </c>
      <c r="Q26" s="30">
        <f>'湖州s'!X25</f>
        <v>279.94473</v>
      </c>
      <c r="R26" s="30">
        <f>'绍兴1s'!Q55</f>
        <v>323.3333333333333</v>
      </c>
      <c r="S26" s="30">
        <f>'绍兴1s'!R55</f>
        <v>341.71666666666664</v>
      </c>
      <c r="T26" s="9">
        <v>17</v>
      </c>
    </row>
    <row r="27" spans="1:20" ht="13.5" customHeight="1">
      <c r="A27" s="9">
        <v>22</v>
      </c>
      <c r="B27" s="9"/>
      <c r="C27" s="13" t="s">
        <v>60</v>
      </c>
      <c r="D27" s="13"/>
      <c r="E27" s="9"/>
      <c r="F27" s="10" t="s">
        <v>62</v>
      </c>
      <c r="G27" s="9" t="s">
        <v>21</v>
      </c>
      <c r="H27" s="30" t="e">
        <f>#REF!</f>
        <v>#REF!</v>
      </c>
      <c r="I27" s="30" t="e">
        <f>#REF!</f>
        <v>#REF!</v>
      </c>
      <c r="J27" s="30">
        <f>'宁波2'!T59</f>
        <v>0</v>
      </c>
      <c r="K27" s="30">
        <f>'宁波2'!U59</f>
        <v>0</v>
      </c>
      <c r="L27" s="30">
        <f>'温州11'!W57</f>
        <v>315.90909090909093</v>
      </c>
      <c r="M27" s="30">
        <f>'温州11'!X57</f>
        <v>334.07140909090907</v>
      </c>
      <c r="N27" s="30">
        <f>'嘉兴s'!AC27</f>
        <v>232.14285714285714</v>
      </c>
      <c r="O27" s="30">
        <f>'嘉兴s'!AD27</f>
        <v>280.89109999999994</v>
      </c>
      <c r="P27" s="30">
        <f>'湖州s'!W26</f>
        <v>246.2</v>
      </c>
      <c r="Q27" s="30">
        <f>'湖州s'!X26</f>
        <v>263.09389</v>
      </c>
      <c r="R27" s="30">
        <f>'绍兴1s'!Q56</f>
        <v>303.3333333333333</v>
      </c>
      <c r="S27" s="30">
        <f>'绍兴1s'!R56</f>
        <v>321.2136666666666</v>
      </c>
      <c r="T27" s="9">
        <v>17</v>
      </c>
    </row>
    <row r="28" spans="1:20" ht="13.5" customHeight="1">
      <c r="A28" s="9">
        <v>23</v>
      </c>
      <c r="B28" s="9"/>
      <c r="C28" s="13" t="s">
        <v>63</v>
      </c>
      <c r="D28" s="13"/>
      <c r="E28" s="9">
        <v>833</v>
      </c>
      <c r="F28" s="10" t="s">
        <v>61</v>
      </c>
      <c r="G28" s="9" t="s">
        <v>21</v>
      </c>
      <c r="H28" s="30" t="e">
        <f>#REF!</f>
        <v>#REF!</v>
      </c>
      <c r="I28" s="30" t="e">
        <f>#REF!</f>
        <v>#REF!</v>
      </c>
      <c r="J28" s="30">
        <f>'宁波2'!T60</f>
        <v>0</v>
      </c>
      <c r="K28" s="30">
        <f>'宁波2'!U60</f>
        <v>0</v>
      </c>
      <c r="L28" s="30">
        <f>'温州11'!W58</f>
        <v>365.90909090909093</v>
      </c>
      <c r="M28" s="30">
        <f>'温州11'!X58</f>
        <v>385.32890909090906</v>
      </c>
      <c r="N28" s="30">
        <f>'嘉兴s'!AC28</f>
        <v>289.2857142857143</v>
      </c>
      <c r="O28" s="30">
        <f>'嘉兴s'!AD28</f>
        <v>342.54655</v>
      </c>
      <c r="P28" s="30">
        <f>'湖州s'!W27</f>
        <v>290.2</v>
      </c>
      <c r="Q28" s="30">
        <f>'湖州s'!X27</f>
        <v>308.25705</v>
      </c>
      <c r="R28" s="30">
        <f>'绍兴1s'!Q57</f>
        <v>364.1666666666667</v>
      </c>
      <c r="S28" s="30">
        <f>'绍兴1s'!R57</f>
        <v>383.5769583333333</v>
      </c>
      <c r="T28" s="9">
        <v>17</v>
      </c>
    </row>
    <row r="29" spans="1:20" ht="13.5" customHeight="1">
      <c r="A29" s="397">
        <v>24</v>
      </c>
      <c r="B29" s="9"/>
      <c r="C29" s="13" t="s">
        <v>63</v>
      </c>
      <c r="D29" s="13"/>
      <c r="E29" s="9"/>
      <c r="F29" s="10" t="s">
        <v>62</v>
      </c>
      <c r="G29" s="397" t="s">
        <v>21</v>
      </c>
      <c r="H29" s="30" t="e">
        <f>#REF!</f>
        <v>#REF!</v>
      </c>
      <c r="I29" s="30" t="e">
        <f>#REF!</f>
        <v>#REF!</v>
      </c>
      <c r="J29" s="30">
        <f>'宁波2'!T61</f>
        <v>0</v>
      </c>
      <c r="K29" s="30">
        <f>'宁波2'!U61</f>
        <v>0</v>
      </c>
      <c r="L29" s="30">
        <f>'温州11'!W59</f>
        <v>345.90909090909093</v>
      </c>
      <c r="M29" s="30">
        <f>'温州11'!X59</f>
        <v>364.8259090909091</v>
      </c>
      <c r="N29" s="30">
        <f>'嘉兴s'!AC29</f>
        <v>244.28571428571428</v>
      </c>
      <c r="O29" s="30">
        <f>'嘉兴s'!AD29</f>
        <v>310.9133499999999</v>
      </c>
      <c r="P29" s="30">
        <f>'湖州s'!W28</f>
        <v>270.6</v>
      </c>
      <c r="Q29" s="30">
        <f>'湖州s'!X28</f>
        <v>290.57563999999996</v>
      </c>
      <c r="R29" s="30">
        <f>'绍兴1s'!Q58</f>
        <v>344.1666666666667</v>
      </c>
      <c r="S29" s="30">
        <f>'绍兴1s'!R58</f>
        <v>363.07395833333334</v>
      </c>
      <c r="T29" s="9">
        <v>17</v>
      </c>
    </row>
    <row r="30" spans="1:19" s="396" customFormat="1" ht="13.5" customHeight="1">
      <c r="A30" s="9">
        <v>25</v>
      </c>
      <c r="B30" s="6" t="s">
        <v>64</v>
      </c>
      <c r="C30" s="15" t="s">
        <v>65</v>
      </c>
      <c r="D30" s="16"/>
      <c r="E30" s="26"/>
      <c r="F30" s="27" t="s">
        <v>66</v>
      </c>
      <c r="G30" s="147" t="s">
        <v>67</v>
      </c>
      <c r="H30" s="398"/>
      <c r="I30" s="398" t="e">
        <f>#REF!</f>
        <v>#REF!</v>
      </c>
      <c r="J30" s="398"/>
      <c r="K30" s="398">
        <f>'宁波2'!U62</f>
        <v>6.3</v>
      </c>
      <c r="L30" s="398"/>
      <c r="M30" s="398">
        <f>'温州11'!X60</f>
        <v>7.075727272727272</v>
      </c>
      <c r="N30" s="22"/>
      <c r="O30" s="398" t="e">
        <f>嘉兴s!#REF!</f>
        <v>#REF!</v>
      </c>
      <c r="P30" s="398"/>
      <c r="Q30" s="398">
        <f>'湖州s'!X29</f>
        <v>6.37</v>
      </c>
      <c r="R30" s="398"/>
      <c r="S30" s="398" t="e">
        <f>'绍兴1s'!R59</f>
        <v>#REF!</v>
      </c>
    </row>
    <row r="31" spans="1:19" s="396" customFormat="1" ht="13.5" customHeight="1">
      <c r="A31" s="9">
        <v>26</v>
      </c>
      <c r="B31" s="6"/>
      <c r="C31" s="15" t="s">
        <v>65</v>
      </c>
      <c r="D31" s="16"/>
      <c r="E31" s="26">
        <v>862</v>
      </c>
      <c r="F31" s="27" t="s">
        <v>68</v>
      </c>
      <c r="G31" s="147" t="s">
        <v>67</v>
      </c>
      <c r="H31" s="398"/>
      <c r="I31" s="398" t="e">
        <f>#REF!</f>
        <v>#REF!</v>
      </c>
      <c r="J31" s="398"/>
      <c r="K31" s="398">
        <f>'宁波2'!U63</f>
        <v>6.75</v>
      </c>
      <c r="L31" s="398"/>
      <c r="M31" s="398">
        <f>'温州11'!X61</f>
        <v>7.386636363636362</v>
      </c>
      <c r="N31" s="22"/>
      <c r="O31" s="398" t="e">
        <f>嘉兴s!#REF!</f>
        <v>#REF!</v>
      </c>
      <c r="P31" s="398"/>
      <c r="Q31" s="398">
        <f>'湖州s'!X30</f>
        <v>6.75</v>
      </c>
      <c r="R31" s="398"/>
      <c r="S31" s="398" t="e">
        <f>'绍兴1s'!R60</f>
        <v>#REF!</v>
      </c>
    </row>
    <row r="32" spans="1:19" s="396" customFormat="1" ht="13.5" customHeight="1">
      <c r="A32" s="9">
        <v>27</v>
      </c>
      <c r="B32" s="17"/>
      <c r="C32" s="10" t="s">
        <v>69</v>
      </c>
      <c r="D32" s="18"/>
      <c r="E32" s="26">
        <v>863</v>
      </c>
      <c r="F32" s="27" t="s">
        <v>70</v>
      </c>
      <c r="G32" s="147" t="s">
        <v>67</v>
      </c>
      <c r="H32" s="398"/>
      <c r="I32" s="398" t="e">
        <f>#REF!</f>
        <v>#REF!</v>
      </c>
      <c r="J32" s="398"/>
      <c r="K32" s="398">
        <f>'宁波2'!U64</f>
        <v>5.73</v>
      </c>
      <c r="L32" s="398"/>
      <c r="M32" s="398">
        <f>'温州11'!X62</f>
        <v>6.5684545454545455</v>
      </c>
      <c r="N32" s="22"/>
      <c r="O32" s="398">
        <f>'嘉兴s'!AD30</f>
        <v>5.78</v>
      </c>
      <c r="P32" s="398"/>
      <c r="Q32" s="398">
        <f>'湖州s'!X31</f>
        <v>5.75</v>
      </c>
      <c r="R32" s="398"/>
      <c r="S32" s="398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78"/>
      <c r="E34" s="104"/>
      <c r="F34" s="7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19"/>
      <c r="C35" s="19"/>
      <c r="D35" s="19"/>
      <c r="E35" s="19"/>
      <c r="F35" s="19"/>
      <c r="G35" s="19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3"/>
      <c r="B37" s="53"/>
      <c r="C37" s="108"/>
      <c r="D37" s="109"/>
      <c r="E37" s="53"/>
      <c r="F37" s="53"/>
      <c r="G37" s="53"/>
      <c r="H37" s="6" t="s">
        <v>14</v>
      </c>
      <c r="I37" s="6" t="s">
        <v>15</v>
      </c>
      <c r="J37" s="6" t="s">
        <v>14</v>
      </c>
      <c r="K37" s="6" t="s">
        <v>15</v>
      </c>
      <c r="L37" s="6" t="s">
        <v>14</v>
      </c>
      <c r="M37" s="6" t="s">
        <v>15</v>
      </c>
      <c r="N37" s="6" t="s">
        <v>14</v>
      </c>
      <c r="O37" s="6" t="s">
        <v>15</v>
      </c>
      <c r="P37" s="6" t="s">
        <v>14</v>
      </c>
      <c r="Q37" s="6" t="s">
        <v>15</v>
      </c>
      <c r="R37" s="53"/>
      <c r="S37" s="53"/>
    </row>
    <row r="38" spans="1:19" s="104" customFormat="1" ht="23.25" customHeight="1">
      <c r="A38" s="53">
        <v>1</v>
      </c>
      <c r="B38" s="6" t="s">
        <v>16</v>
      </c>
      <c r="C38" s="6" t="s">
        <v>17</v>
      </c>
      <c r="D38" s="8" t="s">
        <v>18</v>
      </c>
      <c r="E38" s="9" t="s">
        <v>19</v>
      </c>
      <c r="F38" s="21" t="s">
        <v>20</v>
      </c>
      <c r="G38" s="7" t="s">
        <v>21</v>
      </c>
      <c r="H38" s="22" t="e">
        <f>'金华11s'!Q36</f>
        <v>#REF!</v>
      </c>
      <c r="I38" s="22" t="e">
        <f>'金华11s'!R36</f>
        <v>#REF!</v>
      </c>
      <c r="J38" s="22" t="e">
        <f>'台州111s'!T33</f>
        <v>#REF!</v>
      </c>
      <c r="K38" s="22" t="e">
        <f>'台州111s'!U33</f>
        <v>#REF!</v>
      </c>
      <c r="L38" s="22" t="e">
        <f>'丽水11s'!T37</f>
        <v>#REF!</v>
      </c>
      <c r="M38" s="22" t="e">
        <f>'丽水11s'!U37</f>
        <v>#REF!</v>
      </c>
      <c r="N38" s="22" t="e">
        <f>'衢州11s'!W5</f>
        <v>#REF!</v>
      </c>
      <c r="O38" s="22" t="e">
        <f>'衢州11s'!X5</f>
        <v>#REF!</v>
      </c>
      <c r="P38" s="22" t="e">
        <f>'舟山11s'!T5</f>
        <v>#REF!</v>
      </c>
      <c r="Q38" s="22" t="e">
        <f>'舟山11s'!U5</f>
        <v>#REF!</v>
      </c>
      <c r="R38" s="22" t="e">
        <f aca="true" t="shared" si="0" ref="R38:S53">AVERAGE(H6,J6,L6,N6,P6,R6,H38,J38,L38,N38,P38)</f>
        <v>#REF!</v>
      </c>
      <c r="S38" s="22" t="e">
        <f t="shared" si="0"/>
        <v>#REF!</v>
      </c>
    </row>
    <row r="39" spans="1:19" ht="27" customHeight="1">
      <c r="A39" s="53">
        <v>2</v>
      </c>
      <c r="B39" s="9"/>
      <c r="C39" s="9"/>
      <c r="D39" s="10" t="s">
        <v>22</v>
      </c>
      <c r="E39" s="9"/>
      <c r="F39" s="10" t="s">
        <v>23</v>
      </c>
      <c r="G39" s="9" t="s">
        <v>21</v>
      </c>
      <c r="H39" s="30" t="e">
        <f>'金华11s'!Q37</f>
        <v>#REF!</v>
      </c>
      <c r="I39" s="30" t="e">
        <f>'金华11s'!R37</f>
        <v>#REF!</v>
      </c>
      <c r="J39" s="30" t="e">
        <f>'台州111s'!T34</f>
        <v>#REF!</v>
      </c>
      <c r="K39" s="30" t="e">
        <f>'台州111s'!U34</f>
        <v>#REF!</v>
      </c>
      <c r="L39" s="30" t="e">
        <f>'丽水11s'!T38</f>
        <v>#REF!</v>
      </c>
      <c r="M39" s="30" t="e">
        <f>'丽水11s'!U38</f>
        <v>#REF!</v>
      </c>
      <c r="N39" s="30" t="e">
        <f>'衢州11s'!W6</f>
        <v>#REF!</v>
      </c>
      <c r="O39" s="30" t="e">
        <f>'衢州11s'!X6</f>
        <v>#REF!</v>
      </c>
      <c r="P39" s="30" t="e">
        <f>'舟山11s'!T6</f>
        <v>#REF!</v>
      </c>
      <c r="Q39" s="30" t="e">
        <f>'舟山11s'!U6</f>
        <v>#REF!</v>
      </c>
      <c r="R39" s="30" t="e">
        <f t="shared" si="0"/>
        <v>#REF!</v>
      </c>
      <c r="S39" s="30" t="e">
        <f t="shared" si="0"/>
        <v>#REF!</v>
      </c>
    </row>
    <row r="40" spans="1:19" ht="12" customHeight="1">
      <c r="A40" s="53">
        <v>3</v>
      </c>
      <c r="B40" s="9"/>
      <c r="C40" s="9"/>
      <c r="D40" s="10" t="s">
        <v>24</v>
      </c>
      <c r="E40" s="9"/>
      <c r="F40" s="10" t="s">
        <v>25</v>
      </c>
      <c r="G40" s="9" t="s">
        <v>21</v>
      </c>
      <c r="H40" s="30" t="e">
        <f>'金华11s'!Q38</f>
        <v>#REF!</v>
      </c>
      <c r="I40" s="30" t="e">
        <f>'金华11s'!R38</f>
        <v>#REF!</v>
      </c>
      <c r="J40" s="30">
        <f>'台州111s'!T35</f>
        <v>2146</v>
      </c>
      <c r="K40" s="30">
        <f>'台州111s'!U35</f>
        <v>2205.595</v>
      </c>
      <c r="L40" s="30" t="e">
        <f>'丽水11s'!T39</f>
        <v>#REF!</v>
      </c>
      <c r="M40" s="30" t="e">
        <f>'丽水11s'!U39</f>
        <v>#REF!</v>
      </c>
      <c r="N40" s="30" t="e">
        <f>'衢州11s'!W7</f>
        <v>#REF!</v>
      </c>
      <c r="O40" s="30" t="e">
        <f>'衢州11s'!X7</f>
        <v>#REF!</v>
      </c>
      <c r="P40" s="30" t="e">
        <f>'舟山11s'!T7</f>
        <v>#REF!</v>
      </c>
      <c r="Q40" s="30" t="e">
        <f>'舟山11s'!U7</f>
        <v>#REF!</v>
      </c>
      <c r="R40" s="30" t="e">
        <f t="shared" si="0"/>
        <v>#REF!</v>
      </c>
      <c r="S40" s="30" t="e">
        <f t="shared" si="0"/>
        <v>#REF!</v>
      </c>
    </row>
    <row r="41" spans="1:19" s="104" customFormat="1" ht="36" customHeight="1">
      <c r="A41" s="53">
        <v>4</v>
      </c>
      <c r="B41" s="9"/>
      <c r="C41" s="6" t="s">
        <v>26</v>
      </c>
      <c r="D41" s="11" t="s">
        <v>27</v>
      </c>
      <c r="E41" s="9">
        <v>112</v>
      </c>
      <c r="F41" s="21" t="s">
        <v>28</v>
      </c>
      <c r="G41" s="7" t="s">
        <v>21</v>
      </c>
      <c r="H41" s="22" t="e">
        <f>'金华11s'!Q39</f>
        <v>#REF!</v>
      </c>
      <c r="I41" s="22" t="e">
        <f>'金华11s'!R39</f>
        <v>#REF!</v>
      </c>
      <c r="J41" s="22">
        <f>'台州111s'!T36</f>
        <v>2031.7000000000003</v>
      </c>
      <c r="K41" s="22">
        <f>'台州111s'!U36</f>
        <v>2089.5805</v>
      </c>
      <c r="L41" s="22" t="e">
        <f>'丽水11s'!T40</f>
        <v>#REF!</v>
      </c>
      <c r="M41" s="22" t="e">
        <f>'丽水11s'!U40</f>
        <v>#REF!</v>
      </c>
      <c r="N41" s="22" t="e">
        <f>'衢州11s'!W8</f>
        <v>#REF!</v>
      </c>
      <c r="O41" s="22" t="e">
        <f>'衢州11s'!X8</f>
        <v>#REF!</v>
      </c>
      <c r="P41" s="22" t="e">
        <f>'舟山11s'!T8</f>
        <v>#REF!</v>
      </c>
      <c r="Q41" s="22" t="e">
        <f>'舟山11s'!U8</f>
        <v>#REF!</v>
      </c>
      <c r="R41" s="22" t="e">
        <f t="shared" si="0"/>
        <v>#REF!</v>
      </c>
      <c r="S41" s="22" t="e">
        <f t="shared" si="0"/>
        <v>#REF!</v>
      </c>
    </row>
    <row r="42" spans="1:19" ht="12" customHeight="1">
      <c r="A42" s="53">
        <v>5</v>
      </c>
      <c r="B42" s="9"/>
      <c r="C42" s="9"/>
      <c r="D42" s="10" t="s">
        <v>29</v>
      </c>
      <c r="E42" s="9"/>
      <c r="F42" s="10" t="s">
        <v>30</v>
      </c>
      <c r="G42" s="9" t="s">
        <v>21</v>
      </c>
      <c r="H42" s="399" t="e">
        <f>'金华11s'!Q40</f>
        <v>#REF!</v>
      </c>
      <c r="I42" s="30" t="e">
        <f>'金华11s'!R40</f>
        <v>#REF!</v>
      </c>
      <c r="J42" s="30">
        <f>'台州111s'!T37</f>
        <v>2198</v>
      </c>
      <c r="K42" s="30">
        <f>'台州111s'!U37</f>
        <v>2258.375</v>
      </c>
      <c r="L42" s="30" t="e">
        <f>'丽水11s'!T41</f>
        <v>#REF!</v>
      </c>
      <c r="M42" s="30" t="e">
        <f>'丽水11s'!U41</f>
        <v>#REF!</v>
      </c>
      <c r="N42" s="30" t="e">
        <f>'衢州11s'!W9</f>
        <v>#REF!</v>
      </c>
      <c r="O42" s="30" t="e">
        <f>'衢州11s'!X9</f>
        <v>#REF!</v>
      </c>
      <c r="P42" s="30" t="e">
        <f>'舟山11s'!T9</f>
        <v>#REF!</v>
      </c>
      <c r="Q42" s="30" t="e">
        <f>'舟山11s'!U9</f>
        <v>#REF!</v>
      </c>
      <c r="R42" s="30" t="e">
        <f t="shared" si="0"/>
        <v>#REF!</v>
      </c>
      <c r="S42" s="30" t="e">
        <f t="shared" si="0"/>
        <v>#REF!</v>
      </c>
    </row>
    <row r="43" spans="1:19" ht="12" customHeight="1">
      <c r="A43" s="53">
        <v>6</v>
      </c>
      <c r="B43" s="9"/>
      <c r="C43" s="9"/>
      <c r="D43" s="10" t="s">
        <v>29</v>
      </c>
      <c r="E43" s="9"/>
      <c r="F43" s="10" t="s">
        <v>31</v>
      </c>
      <c r="G43" s="9" t="s">
        <v>21</v>
      </c>
      <c r="H43" s="399" t="e">
        <f>'金华11s'!Q41</f>
        <v>#REF!</v>
      </c>
      <c r="I43" s="30" t="e">
        <f>'金华11s'!R41</f>
        <v>#REF!</v>
      </c>
      <c r="J43" s="30">
        <f>'台州111s'!T38</f>
        <v>2098</v>
      </c>
      <c r="K43" s="30">
        <f>'台州111s'!U38</f>
        <v>2156.875</v>
      </c>
      <c r="L43" s="30" t="e">
        <f>'丽水11s'!T42</f>
        <v>#REF!</v>
      </c>
      <c r="M43" s="30" t="e">
        <f>'丽水11s'!U42</f>
        <v>#REF!</v>
      </c>
      <c r="N43" s="30" t="e">
        <f>'衢州11s'!W10</f>
        <v>#REF!</v>
      </c>
      <c r="O43" s="30" t="e">
        <f>'衢州11s'!X10</f>
        <v>#REF!</v>
      </c>
      <c r="P43" s="30" t="e">
        <f>'舟山11s'!T10</f>
        <v>#REF!</v>
      </c>
      <c r="Q43" s="30" t="e">
        <f>'舟山11s'!U10</f>
        <v>#REF!</v>
      </c>
      <c r="R43" s="30" t="e">
        <f t="shared" si="0"/>
        <v>#REF!</v>
      </c>
      <c r="S43" s="30" t="e">
        <f t="shared" si="0"/>
        <v>#REF!</v>
      </c>
    </row>
    <row r="44" spans="1:19" ht="12" customHeight="1">
      <c r="A44" s="53">
        <v>7</v>
      </c>
      <c r="B44" s="9"/>
      <c r="C44" s="9"/>
      <c r="D44" s="10" t="s">
        <v>29</v>
      </c>
      <c r="E44" s="9"/>
      <c r="F44" s="10" t="s">
        <v>32</v>
      </c>
      <c r="G44" s="9" t="s">
        <v>21</v>
      </c>
      <c r="H44" s="399" t="e">
        <f>'金华11s'!Q42</f>
        <v>#REF!</v>
      </c>
      <c r="I44" s="30" t="e">
        <f>'金华11s'!R42</f>
        <v>#REF!</v>
      </c>
      <c r="J44" s="30">
        <f>'台州111s'!T39</f>
        <v>1948</v>
      </c>
      <c r="K44" s="30">
        <f>'台州111s'!U39</f>
        <v>2004.6249999999998</v>
      </c>
      <c r="L44" s="30" t="e">
        <f>'丽水11s'!T43</f>
        <v>#REF!</v>
      </c>
      <c r="M44" s="30" t="e">
        <f>'丽水11s'!U43</f>
        <v>#REF!</v>
      </c>
      <c r="N44" s="30" t="e">
        <f>'衢州11s'!W11</f>
        <v>#REF!</v>
      </c>
      <c r="O44" s="30" t="e">
        <f>'衢州11s'!X11</f>
        <v>#REF!</v>
      </c>
      <c r="P44" s="30" t="e">
        <f>'舟山11s'!T11</f>
        <v>#REF!</v>
      </c>
      <c r="Q44" s="30" t="e">
        <f>'舟山11s'!U11</f>
        <v>#REF!</v>
      </c>
      <c r="R44" s="30" t="e">
        <f t="shared" si="0"/>
        <v>#REF!</v>
      </c>
      <c r="S44" s="30" t="e">
        <f t="shared" si="0"/>
        <v>#REF!</v>
      </c>
    </row>
    <row r="45" spans="1:19" ht="12" customHeight="1">
      <c r="A45" s="53">
        <v>8</v>
      </c>
      <c r="B45" s="9"/>
      <c r="C45" s="9"/>
      <c r="D45" s="10" t="s">
        <v>29</v>
      </c>
      <c r="E45" s="9"/>
      <c r="F45" s="10" t="s">
        <v>33</v>
      </c>
      <c r="G45" s="9" t="s">
        <v>21</v>
      </c>
      <c r="H45" s="399" t="e">
        <f>'金华11s'!Q43</f>
        <v>#REF!</v>
      </c>
      <c r="I45" s="30" t="e">
        <f>'金华11s'!R43</f>
        <v>#REF!</v>
      </c>
      <c r="J45" s="30">
        <f>'台州111s'!T40</f>
        <v>2008</v>
      </c>
      <c r="K45" s="30">
        <f>'台州111s'!U40</f>
        <v>2065.5249999999996</v>
      </c>
      <c r="L45" s="30" t="e">
        <f>'丽水11s'!T44</f>
        <v>#REF!</v>
      </c>
      <c r="M45" s="30" t="e">
        <f>'丽水11s'!U44</f>
        <v>#REF!</v>
      </c>
      <c r="N45" s="30" t="e">
        <f>'衢州11s'!W12</f>
        <v>#REF!</v>
      </c>
      <c r="O45" s="30" t="e">
        <f>'衢州11s'!X12</f>
        <v>#REF!</v>
      </c>
      <c r="P45" s="30" t="e">
        <f>'舟山11s'!T12</f>
        <v>#REF!</v>
      </c>
      <c r="Q45" s="30" t="e">
        <f>'舟山11s'!U12</f>
        <v>#REF!</v>
      </c>
      <c r="R45" s="30" t="e">
        <f t="shared" si="0"/>
        <v>#REF!</v>
      </c>
      <c r="S45" s="30" t="e">
        <f t="shared" si="0"/>
        <v>#REF!</v>
      </c>
    </row>
    <row r="46" spans="1:19" s="104" customFormat="1" ht="24" customHeight="1">
      <c r="A46" s="53">
        <v>9</v>
      </c>
      <c r="B46" s="9"/>
      <c r="C46" s="6" t="s">
        <v>34</v>
      </c>
      <c r="D46" s="11" t="s">
        <v>35</v>
      </c>
      <c r="E46" s="9">
        <v>182</v>
      </c>
      <c r="F46" s="21" t="s">
        <v>36</v>
      </c>
      <c r="G46" s="7" t="s">
        <v>21</v>
      </c>
      <c r="H46" s="22" t="e">
        <f>'金华11s'!Q44</f>
        <v>#REF!</v>
      </c>
      <c r="I46" s="22" t="e">
        <f>'金华11s'!R44</f>
        <v>#REF!</v>
      </c>
      <c r="J46" s="22" t="e">
        <f>'台州111s'!T41</f>
        <v>#REF!</v>
      </c>
      <c r="K46" s="22" t="e">
        <f>'台州111s'!U41</f>
        <v>#REF!</v>
      </c>
      <c r="L46" s="22" t="e">
        <f>'丽水11s'!T45</f>
        <v>#REF!</v>
      </c>
      <c r="M46" s="22" t="e">
        <f>'丽水11s'!U45</f>
        <v>#REF!</v>
      </c>
      <c r="N46" s="22" t="e">
        <f>'衢州11s'!W13</f>
        <v>#REF!</v>
      </c>
      <c r="O46" s="22" t="e">
        <f>'衢州11s'!X13</f>
        <v>#REF!</v>
      </c>
      <c r="P46" s="22" t="e">
        <f>'舟山11s'!T13</f>
        <v>#REF!</v>
      </c>
      <c r="Q46" s="22" t="e">
        <f>'舟山11s'!U13</f>
        <v>#REF!</v>
      </c>
      <c r="R46" s="22" t="e">
        <f t="shared" si="0"/>
        <v>#REF!</v>
      </c>
      <c r="S46" s="22" t="e">
        <f t="shared" si="0"/>
        <v>#REF!</v>
      </c>
    </row>
    <row r="47" spans="1:19" ht="12" customHeight="1">
      <c r="A47" s="53">
        <v>10</v>
      </c>
      <c r="B47" s="9"/>
      <c r="C47" s="9"/>
      <c r="D47" s="10" t="s">
        <v>37</v>
      </c>
      <c r="E47" s="9"/>
      <c r="F47" s="13" t="s">
        <v>38</v>
      </c>
      <c r="G47" s="9" t="s">
        <v>21</v>
      </c>
      <c r="H47" s="399" t="e">
        <f>'金华11s'!Q45</f>
        <v>#REF!</v>
      </c>
      <c r="I47" s="30" t="e">
        <f>'金华11s'!R45</f>
        <v>#REF!</v>
      </c>
      <c r="J47" s="30" t="e">
        <f>'台州111s'!T42</f>
        <v>#REF!</v>
      </c>
      <c r="K47" s="30" t="e">
        <f>'台州111s'!U42</f>
        <v>#REF!</v>
      </c>
      <c r="L47" s="30" t="e">
        <f>'丽水11s'!T46</f>
        <v>#REF!</v>
      </c>
      <c r="M47" s="30" t="e">
        <f>'丽水11s'!U46</f>
        <v>#REF!</v>
      </c>
      <c r="N47" s="30" t="e">
        <f>'衢州11s'!W14</f>
        <v>#REF!</v>
      </c>
      <c r="O47" s="30" t="e">
        <f>'衢州11s'!X14</f>
        <v>#REF!</v>
      </c>
      <c r="P47" s="30" t="e">
        <f>'舟山11s'!T14</f>
        <v>#REF!</v>
      </c>
      <c r="Q47" s="30" t="e">
        <f>'舟山11s'!U14</f>
        <v>#REF!</v>
      </c>
      <c r="R47" s="30" t="e">
        <f t="shared" si="0"/>
        <v>#REF!</v>
      </c>
      <c r="S47" s="30" t="e">
        <f t="shared" si="0"/>
        <v>#REF!</v>
      </c>
    </row>
    <row r="48" spans="1:19" ht="12" customHeight="1">
      <c r="A48" s="53">
        <v>11</v>
      </c>
      <c r="B48" s="9"/>
      <c r="C48" s="9"/>
      <c r="D48" s="10" t="s">
        <v>39</v>
      </c>
      <c r="E48" s="9"/>
      <c r="F48" s="13" t="s">
        <v>40</v>
      </c>
      <c r="G48" s="9" t="s">
        <v>21</v>
      </c>
      <c r="H48" s="399" t="e">
        <f>'金华11s'!Q46</f>
        <v>#REF!</v>
      </c>
      <c r="I48" s="30" t="e">
        <f>'金华11s'!R46</f>
        <v>#REF!</v>
      </c>
      <c r="J48" s="30" t="e">
        <f>'台州111s'!T43</f>
        <v>#REF!</v>
      </c>
      <c r="K48" s="30" t="e">
        <f>'台州111s'!U43</f>
        <v>#REF!</v>
      </c>
      <c r="L48" s="30" t="e">
        <f>'丽水11s'!T47</f>
        <v>#REF!</v>
      </c>
      <c r="M48" s="30" t="e">
        <f>'丽水11s'!U47</f>
        <v>#REF!</v>
      </c>
      <c r="N48" s="30" t="e">
        <f>'衢州11s'!W15</f>
        <v>#REF!</v>
      </c>
      <c r="O48" s="30" t="e">
        <f>'衢州11s'!X15</f>
        <v>#REF!</v>
      </c>
      <c r="P48" s="30" t="e">
        <f>'舟山11s'!T15</f>
        <v>#REF!</v>
      </c>
      <c r="Q48" s="30" t="e">
        <f>'舟山11s'!U15</f>
        <v>#REF!</v>
      </c>
      <c r="R48" s="30" t="e">
        <f t="shared" si="0"/>
        <v>#REF!</v>
      </c>
      <c r="S48" s="30" t="e">
        <f t="shared" si="0"/>
        <v>#REF!</v>
      </c>
    </row>
    <row r="49" spans="1:19" ht="12" customHeight="1">
      <c r="A49" s="53">
        <v>12</v>
      </c>
      <c r="B49" s="9"/>
      <c r="C49" s="9"/>
      <c r="D49" s="10" t="s">
        <v>41</v>
      </c>
      <c r="E49" s="9"/>
      <c r="F49" s="13" t="s">
        <v>42</v>
      </c>
      <c r="G49" s="9" t="s">
        <v>21</v>
      </c>
      <c r="H49" s="399" t="e">
        <f>'金华11s'!Q47</f>
        <v>#REF!</v>
      </c>
      <c r="I49" s="30" t="e">
        <f>'金华11s'!R47</f>
        <v>#REF!</v>
      </c>
      <c r="J49" s="30" t="e">
        <f>'台州111s'!T44</f>
        <v>#REF!</v>
      </c>
      <c r="K49" s="30" t="e">
        <f>'台州111s'!U44</f>
        <v>#REF!</v>
      </c>
      <c r="L49" s="30" t="e">
        <f>'丽水11s'!T48</f>
        <v>#REF!</v>
      </c>
      <c r="M49" s="30" t="e">
        <f>'丽水11s'!U48</f>
        <v>#REF!</v>
      </c>
      <c r="N49" s="30" t="e">
        <f>'衢州11s'!W16</f>
        <v>#REF!</v>
      </c>
      <c r="O49" s="30" t="e">
        <f>'衢州11s'!X16</f>
        <v>#REF!</v>
      </c>
      <c r="P49" s="30" t="e">
        <f>'舟山11s'!T16</f>
        <v>#REF!</v>
      </c>
      <c r="Q49" s="30" t="e">
        <f>'舟山11s'!U16</f>
        <v>#REF!</v>
      </c>
      <c r="R49" s="30" t="e">
        <f t="shared" si="0"/>
        <v>#REF!</v>
      </c>
      <c r="S49" s="30" t="e">
        <f t="shared" si="0"/>
        <v>#REF!</v>
      </c>
    </row>
    <row r="50" spans="1:19" ht="12" customHeight="1">
      <c r="A50" s="53">
        <v>13</v>
      </c>
      <c r="B50" s="9"/>
      <c r="C50" s="6" t="s">
        <v>43</v>
      </c>
      <c r="D50" s="9"/>
      <c r="E50" s="9">
        <v>183</v>
      </c>
      <c r="F50" s="13" t="s">
        <v>44</v>
      </c>
      <c r="G50" s="9" t="s">
        <v>21</v>
      </c>
      <c r="H50" s="399" t="e">
        <f>'金华11s'!Q48</f>
        <v>#REF!</v>
      </c>
      <c r="I50" s="30" t="e">
        <f>'金华11s'!R48</f>
        <v>#REF!</v>
      </c>
      <c r="J50" s="30" t="e">
        <f>'台州111s'!T45</f>
        <v>#REF!</v>
      </c>
      <c r="K50" s="30" t="e">
        <f>'台州111s'!U45</f>
        <v>#REF!</v>
      </c>
      <c r="L50" s="30" t="e">
        <f>'丽水11s'!T49</f>
        <v>#REF!</v>
      </c>
      <c r="M50" s="30" t="e">
        <f>'丽水11s'!U49</f>
        <v>#REF!</v>
      </c>
      <c r="N50" s="30" t="e">
        <f>'衢州11s'!W17</f>
        <v>#REF!</v>
      </c>
      <c r="O50" s="30" t="e">
        <f>'衢州11s'!X17</f>
        <v>#REF!</v>
      </c>
      <c r="P50" s="30" t="e">
        <f>'舟山11s'!T17</f>
        <v>#REF!</v>
      </c>
      <c r="Q50" s="30" t="e">
        <f>'舟山11s'!U17</f>
        <v>#REF!</v>
      </c>
      <c r="R50" s="30" t="e">
        <f t="shared" si="0"/>
        <v>#REF!</v>
      </c>
      <c r="S50" s="30" t="e">
        <f t="shared" si="0"/>
        <v>#REF!</v>
      </c>
    </row>
    <row r="51" spans="1:19" s="104" customFormat="1" ht="22.5" customHeight="1">
      <c r="A51" s="53">
        <v>14</v>
      </c>
      <c r="B51" s="9"/>
      <c r="C51" s="6" t="s">
        <v>45</v>
      </c>
      <c r="D51" s="11" t="s">
        <v>46</v>
      </c>
      <c r="E51" s="25"/>
      <c r="F51" s="21" t="s">
        <v>47</v>
      </c>
      <c r="G51" s="7" t="s">
        <v>21</v>
      </c>
      <c r="H51" s="22" t="e">
        <f>'金华11s'!Q49</f>
        <v>#REF!</v>
      </c>
      <c r="I51" s="22" t="e">
        <f>'金华11s'!R49</f>
        <v>#REF!</v>
      </c>
      <c r="J51" s="22" t="e">
        <f>'台州111s'!T46</f>
        <v>#REF!</v>
      </c>
      <c r="K51" s="22" t="e">
        <f>'台州111s'!U46</f>
        <v>#REF!</v>
      </c>
      <c r="L51" s="22" t="e">
        <f>'丽水11s'!T50</f>
        <v>#REF!</v>
      </c>
      <c r="M51" s="22" t="e">
        <f>'丽水11s'!U50</f>
        <v>#REF!</v>
      </c>
      <c r="N51" s="22" t="e">
        <f>'衢州11s'!W18</f>
        <v>#REF!</v>
      </c>
      <c r="O51" s="22" t="e">
        <f>'衢州11s'!X18</f>
        <v>#REF!</v>
      </c>
      <c r="P51" s="22" t="e">
        <f>'舟山11s'!T18</f>
        <v>#REF!</v>
      </c>
      <c r="Q51" s="22" t="e">
        <f>'舟山11s'!U18</f>
        <v>#REF!</v>
      </c>
      <c r="R51" s="22" t="e">
        <f t="shared" si="0"/>
        <v>#REF!</v>
      </c>
      <c r="S51" s="22" t="e">
        <f t="shared" si="0"/>
        <v>#REF!</v>
      </c>
    </row>
    <row r="52" spans="1:19" ht="12" customHeight="1">
      <c r="A52" s="53">
        <v>15</v>
      </c>
      <c r="B52" s="9"/>
      <c r="C52" s="9"/>
      <c r="D52" s="10" t="s">
        <v>48</v>
      </c>
      <c r="E52" s="25"/>
      <c r="F52" s="10" t="s">
        <v>49</v>
      </c>
      <c r="G52" s="9" t="s">
        <v>21</v>
      </c>
      <c r="H52" s="399" t="e">
        <f>'金华11s'!Q50</f>
        <v>#REF!</v>
      </c>
      <c r="I52" s="30" t="e">
        <f>'金华11s'!R50</f>
        <v>#REF!</v>
      </c>
      <c r="J52" s="30" t="e">
        <f>'台州111s'!T47</f>
        <v>#REF!</v>
      </c>
      <c r="K52" s="30" t="e">
        <f>'台州111s'!U47</f>
        <v>#REF!</v>
      </c>
      <c r="L52" s="30" t="e">
        <f>'丽水11s'!T51</f>
        <v>#REF!</v>
      </c>
      <c r="M52" s="30" t="e">
        <f>'丽水11s'!U51</f>
        <v>#REF!</v>
      </c>
      <c r="N52" s="30" t="e">
        <f>'衢州11s'!W19</f>
        <v>#REF!</v>
      </c>
      <c r="O52" s="30" t="e">
        <f>'衢州11s'!X19</f>
        <v>#REF!</v>
      </c>
      <c r="P52" s="30" t="e">
        <f>'舟山11s'!T19</f>
        <v>#REF!</v>
      </c>
      <c r="Q52" s="30" t="e">
        <f>'舟山11s'!U19</f>
        <v>#REF!</v>
      </c>
      <c r="R52" s="30" t="e">
        <f t="shared" si="0"/>
        <v>#REF!</v>
      </c>
      <c r="S52" s="30" t="e">
        <f t="shared" si="0"/>
        <v>#REF!</v>
      </c>
    </row>
    <row r="53" spans="1:19" ht="12" customHeight="1">
      <c r="A53" s="53">
        <v>16</v>
      </c>
      <c r="B53" s="9"/>
      <c r="C53" s="9"/>
      <c r="D53" s="10" t="s">
        <v>50</v>
      </c>
      <c r="E53" s="25">
        <v>192</v>
      </c>
      <c r="F53" s="10" t="s">
        <v>51</v>
      </c>
      <c r="G53" s="9" t="s">
        <v>21</v>
      </c>
      <c r="H53" s="399" t="e">
        <f>'金华11s'!Q51</f>
        <v>#REF!</v>
      </c>
      <c r="I53" s="30" t="e">
        <f>'金华11s'!R51</f>
        <v>#REF!</v>
      </c>
      <c r="J53" s="30" t="e">
        <f>'台州111s'!T48</f>
        <v>#REF!</v>
      </c>
      <c r="K53" s="30" t="e">
        <f>'台州111s'!U48</f>
        <v>#REF!</v>
      </c>
      <c r="L53" s="30" t="e">
        <f>'丽水11s'!T52</f>
        <v>#REF!</v>
      </c>
      <c r="M53" s="30" t="e">
        <f>'丽水11s'!U52</f>
        <v>#REF!</v>
      </c>
      <c r="N53" s="30" t="e">
        <f>'衢州11s'!W20</f>
        <v>#REF!</v>
      </c>
      <c r="O53" s="30" t="e">
        <f>'衢州11s'!X20</f>
        <v>#REF!</v>
      </c>
      <c r="P53" s="30" t="e">
        <f>'舟山11s'!T20</f>
        <v>#REF!</v>
      </c>
      <c r="Q53" s="30" t="e">
        <f>'舟山11s'!U20</f>
        <v>#REF!</v>
      </c>
      <c r="R53" s="30" t="e">
        <f t="shared" si="0"/>
        <v>#REF!</v>
      </c>
      <c r="S53" s="30" t="e">
        <f t="shared" si="0"/>
        <v>#REF!</v>
      </c>
    </row>
    <row r="54" spans="1:19" ht="12" customHeight="1">
      <c r="A54" s="53">
        <v>17</v>
      </c>
      <c r="B54" s="9"/>
      <c r="C54" s="9"/>
      <c r="D54" s="10" t="s">
        <v>52</v>
      </c>
      <c r="E54" s="25">
        <v>191</v>
      </c>
      <c r="F54" s="10" t="s">
        <v>53</v>
      </c>
      <c r="G54" s="9" t="s">
        <v>21</v>
      </c>
      <c r="H54" s="399" t="e">
        <f>'金华11s'!Q52</f>
        <v>#REF!</v>
      </c>
      <c r="I54" s="30" t="e">
        <f>'金华11s'!R52</f>
        <v>#REF!</v>
      </c>
      <c r="J54" s="30" t="e">
        <f>'台州111s'!T49</f>
        <v>#REF!</v>
      </c>
      <c r="K54" s="30" t="e">
        <f>'台州111s'!U49</f>
        <v>#REF!</v>
      </c>
      <c r="L54" s="30" t="e">
        <f>'丽水11s'!T53</f>
        <v>#REF!</v>
      </c>
      <c r="M54" s="30" t="e">
        <f>'丽水11s'!U53</f>
        <v>#REF!</v>
      </c>
      <c r="N54" s="30" t="e">
        <f>'衢州11s'!W21</f>
        <v>#REF!</v>
      </c>
      <c r="O54" s="30" t="e">
        <f>'衢州11s'!X21</f>
        <v>#REF!</v>
      </c>
      <c r="P54" s="30" t="e">
        <f>'舟山11s'!T21</f>
        <v>#REF!</v>
      </c>
      <c r="Q54" s="30" t="e">
        <f>'舟山11s'!U21</f>
        <v>#REF!</v>
      </c>
      <c r="R54" s="30" t="e">
        <f aca="true" t="shared" si="1" ref="R54:S64">AVERAGE(H22,J22,L22,N22,P22,R22,H54,J54,L54,N54,P54)</f>
        <v>#REF!</v>
      </c>
      <c r="S54" s="30" t="e">
        <f t="shared" si="1"/>
        <v>#REF!</v>
      </c>
    </row>
    <row r="55" spans="1:19" ht="12" customHeight="1">
      <c r="A55" s="53">
        <v>18</v>
      </c>
      <c r="B55" s="9"/>
      <c r="C55" s="10" t="s">
        <v>54</v>
      </c>
      <c r="D55" s="13"/>
      <c r="E55" s="9">
        <v>121</v>
      </c>
      <c r="F55" s="13"/>
      <c r="G55" s="9" t="s">
        <v>21</v>
      </c>
      <c r="H55" s="399" t="e">
        <f>'金华11s'!Q53</f>
        <v>#REF!</v>
      </c>
      <c r="I55" s="30" t="e">
        <f>'金华11s'!R53</f>
        <v>#REF!</v>
      </c>
      <c r="J55" s="30" t="e">
        <f>'台州111s'!T50</f>
        <v>#REF!</v>
      </c>
      <c r="K55" s="30" t="e">
        <f>'台州111s'!U50</f>
        <v>#REF!</v>
      </c>
      <c r="L55" s="30" t="e">
        <f>'丽水11s'!T54</f>
        <v>#REF!</v>
      </c>
      <c r="M55" s="30" t="e">
        <f>'丽水11s'!U54</f>
        <v>#REF!</v>
      </c>
      <c r="N55" s="30" t="e">
        <f>'衢州11s'!W22</f>
        <v>#REF!</v>
      </c>
      <c r="O55" s="30" t="e">
        <f>'衢州11s'!X22</f>
        <v>#REF!</v>
      </c>
      <c r="P55" s="30" t="e">
        <f>'舟山11s'!T22</f>
        <v>#REF!</v>
      </c>
      <c r="Q55" s="30" t="e">
        <f>'舟山11s'!U22</f>
        <v>#REF!</v>
      </c>
      <c r="R55" s="30" t="e">
        <f t="shared" si="1"/>
        <v>#REF!</v>
      </c>
      <c r="S55" s="30" t="e">
        <f t="shared" si="1"/>
        <v>#REF!</v>
      </c>
    </row>
    <row r="56" spans="1:19" ht="12" customHeight="1">
      <c r="A56" s="53">
        <v>19</v>
      </c>
      <c r="B56" s="9"/>
      <c r="C56" s="10" t="s">
        <v>55</v>
      </c>
      <c r="D56" s="13"/>
      <c r="E56" s="9">
        <v>125</v>
      </c>
      <c r="F56" s="10" t="s">
        <v>56</v>
      </c>
      <c r="G56" s="9" t="s">
        <v>21</v>
      </c>
      <c r="H56" s="399" t="e">
        <f>'金华11s'!Q54</f>
        <v>#REF!</v>
      </c>
      <c r="I56" s="30" t="e">
        <f>'金华11s'!R54</f>
        <v>#REF!</v>
      </c>
      <c r="J56" s="30" t="e">
        <f>'台州111s'!T51</f>
        <v>#REF!</v>
      </c>
      <c r="K56" s="30" t="e">
        <f>'台州111s'!U51</f>
        <v>#REF!</v>
      </c>
      <c r="L56" s="30" t="e">
        <f>'丽水11s'!T55</f>
        <v>#REF!</v>
      </c>
      <c r="M56" s="30" t="e">
        <f>'丽水11s'!U55</f>
        <v>#REF!</v>
      </c>
      <c r="N56" s="30" t="e">
        <f>'衢州11s'!W23</f>
        <v>#REF!</v>
      </c>
      <c r="O56" s="30" t="e">
        <f>'衢州11s'!X23</f>
        <v>#REF!</v>
      </c>
      <c r="P56" s="30" t="e">
        <f>'舟山11s'!T23</f>
        <v>#REF!</v>
      </c>
      <c r="Q56" s="30" t="e">
        <f>'舟山11s'!U23</f>
        <v>#REF!</v>
      </c>
      <c r="R56" s="30" t="e">
        <f t="shared" si="1"/>
        <v>#REF!</v>
      </c>
      <c r="S56" s="30" t="e">
        <f t="shared" si="1"/>
        <v>#REF!</v>
      </c>
    </row>
    <row r="57" spans="1:19" s="104" customFormat="1" ht="22.5" customHeight="1">
      <c r="A57" s="9">
        <v>20</v>
      </c>
      <c r="B57" s="6" t="s">
        <v>57</v>
      </c>
      <c r="C57" s="11" t="s">
        <v>58</v>
      </c>
      <c r="D57" s="14"/>
      <c r="E57" s="7"/>
      <c r="F57" s="21" t="s">
        <v>59</v>
      </c>
      <c r="G57" s="7" t="s">
        <v>21</v>
      </c>
      <c r="H57" s="22">
        <f>'金华11s'!Q55</f>
        <v>345.46875</v>
      </c>
      <c r="I57" s="22">
        <f>'金华11s'!R55</f>
        <v>364.4087890625</v>
      </c>
      <c r="J57" s="22">
        <f>'台州111s'!T52</f>
        <v>316.8333333333333</v>
      </c>
      <c r="K57" s="22">
        <f>'台州111s'!U52</f>
        <v>334.72222222222223</v>
      </c>
      <c r="L57" s="22">
        <f>'丽水11s'!T56</f>
        <v>347.19444444444446</v>
      </c>
      <c r="M57" s="22">
        <f>'丽水11s'!U56</f>
        <v>366.1778847222222</v>
      </c>
      <c r="N57" s="22">
        <f>'衢州11s'!W24</f>
        <v>316</v>
      </c>
      <c r="O57" s="22">
        <f>'衢州11s'!X24</f>
        <v>334.1988999999999</v>
      </c>
      <c r="P57" s="22">
        <f>'舟山11s'!T24</f>
        <v>321.96361508071993</v>
      </c>
      <c r="Q57" s="22">
        <f>'舟山11s'!U24</f>
        <v>340.3125</v>
      </c>
      <c r="R57" s="22" t="e">
        <f t="shared" si="1"/>
        <v>#REF!</v>
      </c>
      <c r="S57" s="22" t="e">
        <f t="shared" si="1"/>
        <v>#REF!</v>
      </c>
    </row>
    <row r="58" spans="1:19" ht="13.5" customHeight="1">
      <c r="A58" s="9">
        <v>21</v>
      </c>
      <c r="B58" s="9"/>
      <c r="C58" s="13" t="s">
        <v>60</v>
      </c>
      <c r="D58" s="13"/>
      <c r="E58" s="9">
        <v>832</v>
      </c>
      <c r="F58" s="10" t="s">
        <v>61</v>
      </c>
      <c r="G58" s="9" t="s">
        <v>21</v>
      </c>
      <c r="H58" s="30">
        <f>'金华11s'!Q56</f>
        <v>348.125</v>
      </c>
      <c r="I58" s="30">
        <f>'金华11s'!R56</f>
        <v>367.13184375</v>
      </c>
      <c r="J58" s="30">
        <f>'台州111s'!T53</f>
        <v>329.44444444444446</v>
      </c>
      <c r="K58" s="30">
        <f>'台州111s'!U53</f>
        <v>347.77777777777777</v>
      </c>
      <c r="L58" s="30">
        <f>'丽水11s'!T57</f>
        <v>350.3333333333333</v>
      </c>
      <c r="M58" s="30">
        <f>'丽水11s'!U57</f>
        <v>369.39571666666666</v>
      </c>
      <c r="N58" s="30">
        <f>'衢州11s'!W25</f>
        <v>327</v>
      </c>
      <c r="O58" s="30">
        <f>'衢州11s'!X25</f>
        <v>345.47555</v>
      </c>
      <c r="P58" s="30">
        <f>'舟山11s'!T25</f>
        <v>322.8781153977467</v>
      </c>
      <c r="Q58" s="30">
        <f>'舟山11s'!U25</f>
        <v>341.25</v>
      </c>
      <c r="R58" s="30" t="e">
        <f t="shared" si="1"/>
        <v>#REF!</v>
      </c>
      <c r="S58" s="30" t="e">
        <f t="shared" si="1"/>
        <v>#REF!</v>
      </c>
    </row>
    <row r="59" spans="1:19" ht="13.5" customHeight="1">
      <c r="A59" s="9">
        <v>22</v>
      </c>
      <c r="B59" s="9"/>
      <c r="C59" s="13" t="s">
        <v>60</v>
      </c>
      <c r="D59" s="13"/>
      <c r="E59" s="9"/>
      <c r="F59" s="10" t="s">
        <v>62</v>
      </c>
      <c r="G59" s="9" t="s">
        <v>21</v>
      </c>
      <c r="H59" s="30">
        <f>'金华11s'!Q57</f>
        <v>333.125</v>
      </c>
      <c r="I59" s="30">
        <f>'金华11s'!R57</f>
        <v>351.75459374999997</v>
      </c>
      <c r="J59" s="30">
        <f>'台州111s'!T54</f>
        <v>303.22222222222223</v>
      </c>
      <c r="K59" s="30">
        <f>'台州111s'!U54</f>
        <v>320.77777777777777</v>
      </c>
      <c r="L59" s="30">
        <f>'丽水11s'!T58</f>
        <v>336</v>
      </c>
      <c r="M59" s="30">
        <f>'丽水11s'!U58</f>
        <v>354.7019</v>
      </c>
      <c r="N59" s="30">
        <f>'衢州11s'!W26</f>
        <v>307</v>
      </c>
      <c r="O59" s="30">
        <f>'衢州11s'!X26</f>
        <v>324.97254999999996</v>
      </c>
      <c r="P59" s="30">
        <f>'舟山11s'!T26</f>
        <v>307.02677656928256</v>
      </c>
      <c r="Q59" s="30">
        <f>'舟山11s'!U26</f>
        <v>325</v>
      </c>
      <c r="R59" s="30" t="e">
        <f t="shared" si="1"/>
        <v>#REF!</v>
      </c>
      <c r="S59" s="30" t="e">
        <f t="shared" si="1"/>
        <v>#REF!</v>
      </c>
    </row>
    <row r="60" spans="1:19" ht="13.5" customHeight="1">
      <c r="A60" s="9">
        <v>23</v>
      </c>
      <c r="B60" s="9"/>
      <c r="C60" s="13" t="s">
        <v>63</v>
      </c>
      <c r="D60" s="13"/>
      <c r="E60" s="9">
        <v>833</v>
      </c>
      <c r="F60" s="10" t="s">
        <v>61</v>
      </c>
      <c r="G60" s="9" t="s">
        <v>21</v>
      </c>
      <c r="H60" s="30">
        <f>'金华11s'!Q58</f>
        <v>399.375</v>
      </c>
      <c r="I60" s="30">
        <f>'金华11s'!R58</f>
        <v>419.67078124999995</v>
      </c>
      <c r="J60" s="30">
        <f>'台州111s'!T55</f>
        <v>377.8888888888889</v>
      </c>
      <c r="K60" s="30">
        <f>'台州111s'!U55</f>
        <v>397.44444444444446</v>
      </c>
      <c r="L60" s="30">
        <f>'丽水11s'!T59</f>
        <v>399.1111111111111</v>
      </c>
      <c r="M60" s="30">
        <f>'丽水11s'!U59</f>
        <v>419.40025555555553</v>
      </c>
      <c r="N60" s="30">
        <f>'衢州11s'!W27</f>
        <v>362</v>
      </c>
      <c r="O60" s="30">
        <f>'衢州11s'!X27</f>
        <v>381.35579999999993</v>
      </c>
      <c r="P60" s="30">
        <f>'舟山11s'!T27</f>
        <v>382.6254694434961</v>
      </c>
      <c r="Q60" s="30">
        <f>'舟山11s'!U27</f>
        <v>402.5</v>
      </c>
      <c r="R60" s="30" t="e">
        <f t="shared" si="1"/>
        <v>#REF!</v>
      </c>
      <c r="S60" s="30" t="e">
        <f t="shared" si="1"/>
        <v>#REF!</v>
      </c>
    </row>
    <row r="61" spans="1:19" ht="13.5" customHeight="1">
      <c r="A61" s="9">
        <v>24</v>
      </c>
      <c r="B61" s="9"/>
      <c r="C61" s="13" t="s">
        <v>63</v>
      </c>
      <c r="D61" s="13"/>
      <c r="E61" s="9"/>
      <c r="F61" s="10" t="s">
        <v>62</v>
      </c>
      <c r="G61" s="9" t="s">
        <v>21</v>
      </c>
      <c r="H61" s="30">
        <f>'金华11s'!Q59</f>
        <v>382.5</v>
      </c>
      <c r="I61" s="30">
        <f>'金华11s'!R59</f>
        <v>402.371375</v>
      </c>
      <c r="J61" s="30">
        <f>'台州111s'!T56</f>
        <v>357.6666666666667</v>
      </c>
      <c r="K61" s="30">
        <f>'台州111s'!U56</f>
        <v>376.55555555555554</v>
      </c>
      <c r="L61" s="30">
        <f>'丽水11s'!T60</f>
        <v>380.77777777777777</v>
      </c>
      <c r="M61" s="30">
        <f>'丽水11s'!U60</f>
        <v>400.60583888888885</v>
      </c>
      <c r="N61" s="30">
        <f>'衢州11s'!W28</f>
        <v>343</v>
      </c>
      <c r="O61" s="30">
        <f>'衢州11s'!X28</f>
        <v>361.87794999999994</v>
      </c>
      <c r="P61" s="30">
        <f>'舟山11s'!T28</f>
        <v>366.774130615032</v>
      </c>
      <c r="Q61" s="30">
        <f>'舟山11s'!U28</f>
        <v>386.25</v>
      </c>
      <c r="R61" s="30" t="e">
        <f t="shared" si="1"/>
        <v>#REF!</v>
      </c>
      <c r="S61" s="30" t="e">
        <f t="shared" si="1"/>
        <v>#REF!</v>
      </c>
    </row>
    <row r="62" spans="1:19" s="189" customFormat="1" ht="13.5" customHeight="1">
      <c r="A62" s="9">
        <v>25</v>
      </c>
      <c r="B62" s="6" t="s">
        <v>64</v>
      </c>
      <c r="C62" s="15" t="s">
        <v>65</v>
      </c>
      <c r="D62" s="16"/>
      <c r="E62" s="26"/>
      <c r="F62" s="27" t="s">
        <v>66</v>
      </c>
      <c r="G62" s="147" t="s">
        <v>67</v>
      </c>
      <c r="H62" s="42"/>
      <c r="I62" s="42">
        <f>'金华11s'!R60</f>
        <v>6.43</v>
      </c>
      <c r="J62" s="42"/>
      <c r="K62" s="42" t="e">
        <f>'台州111s'!U57</f>
        <v>#REF!</v>
      </c>
      <c r="L62" s="42"/>
      <c r="M62" s="42">
        <f>'丽水11s'!U61</f>
        <v>6.3</v>
      </c>
      <c r="N62" s="42"/>
      <c r="O62" s="42">
        <f>'衢州11s'!X29</f>
        <v>7.146299999999999</v>
      </c>
      <c r="P62" s="42"/>
      <c r="Q62" s="42">
        <f>'舟山11s'!U29</f>
        <v>6.3</v>
      </c>
      <c r="R62" s="42"/>
      <c r="S62" s="42" t="e">
        <f t="shared" si="1"/>
        <v>#REF!</v>
      </c>
    </row>
    <row r="63" spans="1:19" s="189" customFormat="1" ht="13.5" customHeight="1">
      <c r="A63" s="9">
        <v>26</v>
      </c>
      <c r="B63" s="6"/>
      <c r="C63" s="15" t="s">
        <v>65</v>
      </c>
      <c r="D63" s="16"/>
      <c r="E63" s="26">
        <v>862</v>
      </c>
      <c r="F63" s="27" t="s">
        <v>68</v>
      </c>
      <c r="G63" s="147" t="s">
        <v>67</v>
      </c>
      <c r="H63" s="42"/>
      <c r="I63" s="42">
        <f>'金华11s'!R61</f>
        <v>6.829999999999999</v>
      </c>
      <c r="J63" s="42"/>
      <c r="K63" s="42" t="e">
        <f>'台州111s'!U58</f>
        <v>#REF!</v>
      </c>
      <c r="L63" s="42"/>
      <c r="M63" s="42">
        <f>'丽水11s'!U62</f>
        <v>6.75</v>
      </c>
      <c r="N63" s="42"/>
      <c r="O63" s="42">
        <f>'衢州11s'!X30</f>
        <v>7.4503</v>
      </c>
      <c r="P63" s="42"/>
      <c r="Q63" s="42">
        <f>'舟山11s'!U30</f>
        <v>6.75</v>
      </c>
      <c r="R63" s="42"/>
      <c r="S63" s="42" t="e">
        <f t="shared" si="1"/>
        <v>#REF!</v>
      </c>
    </row>
    <row r="64" spans="1:19" s="189" customFormat="1" ht="13.5" customHeight="1">
      <c r="A64" s="9">
        <v>27</v>
      </c>
      <c r="B64" s="17"/>
      <c r="C64" s="10" t="s">
        <v>69</v>
      </c>
      <c r="D64" s="18"/>
      <c r="E64" s="26">
        <v>863</v>
      </c>
      <c r="F64" s="27" t="s">
        <v>70</v>
      </c>
      <c r="G64" s="26" t="s">
        <v>67</v>
      </c>
      <c r="H64" s="42"/>
      <c r="I64" s="42">
        <f>'金华11s'!R62</f>
        <v>5.89</v>
      </c>
      <c r="J64" s="42"/>
      <c r="K64" s="42" t="e">
        <f>'台州111s'!U59</f>
        <v>#REF!</v>
      </c>
      <c r="L64" s="42"/>
      <c r="M64" s="42">
        <f>'丽水11s'!U63</f>
        <v>5.67</v>
      </c>
      <c r="N64" s="42"/>
      <c r="O64" s="42">
        <f>'衢州11s'!X31</f>
        <v>6.6503</v>
      </c>
      <c r="P64" s="42"/>
      <c r="Q64" s="42">
        <f>'舟山11s'!U31</f>
        <v>5.73</v>
      </c>
      <c r="R64" s="42"/>
      <c r="S64" s="42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19"/>
      <c r="B2" s="19"/>
      <c r="C2" s="19"/>
      <c r="D2" s="19"/>
      <c r="E2" s="19"/>
      <c r="F2" s="19"/>
      <c r="G2" s="19"/>
      <c r="H2" s="19"/>
      <c r="I2" s="19"/>
      <c r="J2" s="111"/>
      <c r="K2" s="111"/>
      <c r="L2" s="111"/>
      <c r="M2" s="111"/>
      <c r="N2" s="111"/>
      <c r="O2" s="39"/>
      <c r="P2" s="39"/>
      <c r="Q2" s="39"/>
      <c r="R2" s="39"/>
      <c r="S2" s="39"/>
      <c r="T2" s="39"/>
      <c r="U2" s="39"/>
      <c r="V2" s="3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4" t="s">
        <v>260</v>
      </c>
      <c r="I3" s="56"/>
      <c r="J3" s="57"/>
      <c r="K3" s="54" t="s">
        <v>261</v>
      </c>
      <c r="L3" s="56"/>
      <c r="M3" s="57"/>
      <c r="N3" s="54" t="s">
        <v>262</v>
      </c>
      <c r="O3" s="56"/>
      <c r="P3" s="57"/>
      <c r="Q3" s="54" t="s">
        <v>263</v>
      </c>
      <c r="R3" s="56"/>
      <c r="S3" s="57"/>
      <c r="T3" s="54" t="s">
        <v>264</v>
      </c>
      <c r="U3" s="56"/>
      <c r="V3" s="57"/>
      <c r="W3" s="46" t="s">
        <v>77</v>
      </c>
      <c r="X3" s="46" t="s">
        <v>78</v>
      </c>
      <c r="Y3" s="43" t="s">
        <v>80</v>
      </c>
    </row>
    <row r="4" spans="1:25" ht="25.5">
      <c r="A4" s="53"/>
      <c r="B4" s="53"/>
      <c r="C4" s="108"/>
      <c r="D4" s="109"/>
      <c r="E4" s="53"/>
      <c r="F4" s="53"/>
      <c r="G4" s="53"/>
      <c r="H4" s="6" t="s">
        <v>14</v>
      </c>
      <c r="I4" s="6" t="s">
        <v>15</v>
      </c>
      <c r="J4" s="6" t="s">
        <v>106</v>
      </c>
      <c r="K4" s="6" t="s">
        <v>14</v>
      </c>
      <c r="L4" s="6" t="s">
        <v>15</v>
      </c>
      <c r="M4" s="6" t="s">
        <v>106</v>
      </c>
      <c r="N4" s="6" t="s">
        <v>14</v>
      </c>
      <c r="O4" s="6" t="s">
        <v>15</v>
      </c>
      <c r="P4" s="6" t="s">
        <v>106</v>
      </c>
      <c r="Q4" s="6" t="s">
        <v>14</v>
      </c>
      <c r="R4" s="6" t="s">
        <v>15</v>
      </c>
      <c r="S4" s="6" t="s">
        <v>106</v>
      </c>
      <c r="T4" s="6" t="s">
        <v>14</v>
      </c>
      <c r="U4" s="6" t="s">
        <v>15</v>
      </c>
      <c r="V4" s="6" t="s">
        <v>106</v>
      </c>
      <c r="W4" s="53"/>
      <c r="X4" s="53"/>
      <c r="Y4" s="43"/>
    </row>
    <row r="5" spans="1:25" s="104" customFormat="1" ht="24.75" customHeight="1">
      <c r="A5" s="53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7" t="s">
        <v>21</v>
      </c>
      <c r="H5" s="82" t="e">
        <f>H6*0.8+H7*0.2</f>
        <v>#REF!</v>
      </c>
      <c r="I5" s="82" t="e">
        <f>I6*0.8+I7*0.2</f>
        <v>#REF!</v>
      </c>
      <c r="J5" s="29"/>
      <c r="K5" s="55"/>
      <c r="L5" s="22"/>
      <c r="M5" s="29"/>
      <c r="N5" s="58"/>
      <c r="O5" s="30"/>
      <c r="P5" s="34"/>
      <c r="Q5" s="58"/>
      <c r="R5" s="30"/>
      <c r="S5" s="34"/>
      <c r="T5" s="34"/>
      <c r="U5" s="34"/>
      <c r="V5" s="29"/>
      <c r="W5" s="22" t="e">
        <f>AVERAGE(H5,K5,N5,Q5,T5)</f>
        <v>#REF!</v>
      </c>
      <c r="X5" s="22" t="e">
        <f>AVERAGE(I5,L5,O5,R5,U5)</f>
        <v>#REF!</v>
      </c>
      <c r="Y5" s="44">
        <v>17</v>
      </c>
    </row>
    <row r="6" spans="1:25" ht="25.5">
      <c r="A6" s="53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 t="e">
        <f>#REF!+80</f>
        <v>#REF!</v>
      </c>
      <c r="I6" s="112" t="e">
        <f>(H6+27)*1.015</f>
        <v>#REF!</v>
      </c>
      <c r="J6" s="113"/>
      <c r="K6" s="58"/>
      <c r="L6" s="34"/>
      <c r="M6" s="34"/>
      <c r="N6" s="58"/>
      <c r="O6" s="23"/>
      <c r="P6" s="34"/>
      <c r="Q6" s="58"/>
      <c r="R6" s="23"/>
      <c r="S6" s="34"/>
      <c r="T6" s="34"/>
      <c r="U6" s="34"/>
      <c r="V6" s="34"/>
      <c r="W6" s="30" t="e">
        <f aca="true" t="shared" si="0" ref="W6:X28">AVERAGE(H6,K6,N6,Q6,T6)</f>
        <v>#REF!</v>
      </c>
      <c r="X6" s="30" t="e">
        <f t="shared" si="0"/>
        <v>#REF!</v>
      </c>
      <c r="Y6" s="45">
        <v>17</v>
      </c>
    </row>
    <row r="7" spans="1:25" ht="15" customHeight="1">
      <c r="A7" s="53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23" t="e">
        <f>#REF!+80</f>
        <v>#REF!</v>
      </c>
      <c r="I7" s="112" t="e">
        <f>(H7+27)*1.015</f>
        <v>#REF!</v>
      </c>
      <c r="J7" s="32" t="s">
        <v>89</v>
      </c>
      <c r="K7" s="58"/>
      <c r="L7" s="34"/>
      <c r="M7" s="34"/>
      <c r="N7" s="58"/>
      <c r="O7" s="23"/>
      <c r="P7" s="34"/>
      <c r="Q7" s="58"/>
      <c r="R7" s="23"/>
      <c r="S7" s="34"/>
      <c r="T7" s="34"/>
      <c r="U7" s="34"/>
      <c r="V7" s="34"/>
      <c r="W7" s="30" t="e">
        <f t="shared" si="0"/>
        <v>#REF!</v>
      </c>
      <c r="X7" s="30" t="e">
        <f t="shared" si="0"/>
        <v>#REF!</v>
      </c>
      <c r="Y7" s="45">
        <v>17</v>
      </c>
    </row>
    <row r="8" spans="1:25" s="104" customFormat="1" ht="36.75" customHeight="1">
      <c r="A8" s="53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82" t="e">
        <f>H9*0.03+H10*0.38+H11*0.27+H12*0.32</f>
        <v>#REF!</v>
      </c>
      <c r="I8" s="82" t="e">
        <f>I9*0.03+I10*0.38+I11*0.27+I12*0.32</f>
        <v>#REF!</v>
      </c>
      <c r="J8" s="33"/>
      <c r="K8" s="55"/>
      <c r="L8" s="29"/>
      <c r="M8" s="22"/>
      <c r="N8" s="58"/>
      <c r="O8" s="30"/>
      <c r="P8" s="34"/>
      <c r="Q8" s="58"/>
      <c r="R8" s="30"/>
      <c r="S8" s="34"/>
      <c r="T8" s="34"/>
      <c r="U8" s="34"/>
      <c r="V8" s="22"/>
      <c r="W8" s="22" t="e">
        <f t="shared" si="0"/>
        <v>#REF!</v>
      </c>
      <c r="X8" s="22" t="e">
        <f t="shared" si="0"/>
        <v>#REF!</v>
      </c>
      <c r="Y8" s="44">
        <v>17</v>
      </c>
    </row>
    <row r="9" spans="1:25" ht="15" customHeight="1">
      <c r="A9" s="53">
        <v>5</v>
      </c>
      <c r="B9" s="9"/>
      <c r="C9" s="9"/>
      <c r="D9" s="10" t="s">
        <v>29</v>
      </c>
      <c r="E9" s="9"/>
      <c r="F9" s="10" t="s">
        <v>30</v>
      </c>
      <c r="G9" s="9" t="s">
        <v>21</v>
      </c>
      <c r="H9" s="23" t="e">
        <f>#REF!+80</f>
        <v>#REF!</v>
      </c>
      <c r="I9" s="112" t="e">
        <f>(H9+27)*1.015</f>
        <v>#REF!</v>
      </c>
      <c r="J9" s="32" t="s">
        <v>90</v>
      </c>
      <c r="K9" s="58"/>
      <c r="L9" s="34"/>
      <c r="M9" s="34"/>
      <c r="N9" s="58"/>
      <c r="O9" s="23"/>
      <c r="P9" s="34"/>
      <c r="Q9" s="58"/>
      <c r="R9" s="23"/>
      <c r="S9" s="34"/>
      <c r="T9" s="34"/>
      <c r="U9" s="34"/>
      <c r="V9" s="34"/>
      <c r="W9" s="30" t="e">
        <f t="shared" si="0"/>
        <v>#REF!</v>
      </c>
      <c r="X9" s="30" t="e">
        <f t="shared" si="0"/>
        <v>#REF!</v>
      </c>
      <c r="Y9" s="45">
        <v>17</v>
      </c>
    </row>
    <row r="10" spans="1:25" ht="15" customHeight="1">
      <c r="A10" s="53">
        <v>6</v>
      </c>
      <c r="B10" s="9"/>
      <c r="C10" s="9"/>
      <c r="D10" s="10" t="s">
        <v>29</v>
      </c>
      <c r="E10" s="9"/>
      <c r="F10" s="10" t="s">
        <v>31</v>
      </c>
      <c r="G10" s="9" t="s">
        <v>21</v>
      </c>
      <c r="H10" s="23" t="e">
        <f>#REF!+80</f>
        <v>#REF!</v>
      </c>
      <c r="I10" s="112" t="e">
        <f>(H10+27)*1.015</f>
        <v>#REF!</v>
      </c>
      <c r="J10" s="32" t="s">
        <v>90</v>
      </c>
      <c r="K10" s="58"/>
      <c r="L10" s="34"/>
      <c r="M10" s="34"/>
      <c r="N10" s="58"/>
      <c r="O10" s="23"/>
      <c r="P10" s="34"/>
      <c r="Q10" s="58"/>
      <c r="R10" s="23"/>
      <c r="S10" s="34"/>
      <c r="T10" s="34"/>
      <c r="U10" s="34"/>
      <c r="V10" s="34"/>
      <c r="W10" s="30" t="e">
        <f t="shared" si="0"/>
        <v>#REF!</v>
      </c>
      <c r="X10" s="30" t="e">
        <f t="shared" si="0"/>
        <v>#REF!</v>
      </c>
      <c r="Y10" s="45">
        <v>17</v>
      </c>
    </row>
    <row r="11" spans="1:25" ht="15" customHeight="1">
      <c r="A11" s="53">
        <v>7</v>
      </c>
      <c r="B11" s="9"/>
      <c r="C11" s="9"/>
      <c r="D11" s="10" t="s">
        <v>29</v>
      </c>
      <c r="E11" s="9"/>
      <c r="F11" s="10" t="s">
        <v>32</v>
      </c>
      <c r="G11" s="9" t="s">
        <v>21</v>
      </c>
      <c r="H11" s="23" t="e">
        <f>#REF!+80</f>
        <v>#REF!</v>
      </c>
      <c r="I11" s="112" t="e">
        <f>(H11+27)*1.015</f>
        <v>#REF!</v>
      </c>
      <c r="J11" s="32" t="s">
        <v>90</v>
      </c>
      <c r="K11" s="58"/>
      <c r="L11" s="34"/>
      <c r="M11" s="34"/>
      <c r="N11" s="58"/>
      <c r="O11" s="23"/>
      <c r="P11" s="34"/>
      <c r="Q11" s="58"/>
      <c r="R11" s="23"/>
      <c r="S11" s="34"/>
      <c r="T11" s="34"/>
      <c r="U11" s="34"/>
      <c r="V11" s="34"/>
      <c r="W11" s="30" t="e">
        <f t="shared" si="0"/>
        <v>#REF!</v>
      </c>
      <c r="X11" s="30" t="e">
        <f t="shared" si="0"/>
        <v>#REF!</v>
      </c>
      <c r="Y11" s="45">
        <v>17</v>
      </c>
    </row>
    <row r="12" spans="1:25" ht="15" customHeight="1">
      <c r="A12" s="53">
        <v>8</v>
      </c>
      <c r="B12" s="9"/>
      <c r="C12" s="9"/>
      <c r="D12" s="10" t="s">
        <v>29</v>
      </c>
      <c r="E12" s="9"/>
      <c r="F12" s="10" t="s">
        <v>33</v>
      </c>
      <c r="G12" s="9" t="s">
        <v>21</v>
      </c>
      <c r="H12" s="23" t="e">
        <f>#REF!+80</f>
        <v>#REF!</v>
      </c>
      <c r="I12" s="112" t="e">
        <f>(H12+27)*1.015</f>
        <v>#REF!</v>
      </c>
      <c r="J12" s="32" t="s">
        <v>90</v>
      </c>
      <c r="K12" s="58"/>
      <c r="L12" s="34"/>
      <c r="M12" s="34"/>
      <c r="N12" s="58"/>
      <c r="O12" s="23"/>
      <c r="P12" s="34"/>
      <c r="Q12" s="58"/>
      <c r="R12" s="23"/>
      <c r="S12" s="34"/>
      <c r="T12" s="34"/>
      <c r="U12" s="34"/>
      <c r="V12" s="34"/>
      <c r="W12" s="30" t="e">
        <f t="shared" si="0"/>
        <v>#REF!</v>
      </c>
      <c r="X12" s="30" t="e">
        <f t="shared" si="0"/>
        <v>#REF!</v>
      </c>
      <c r="Y12" s="45">
        <v>17</v>
      </c>
    </row>
    <row r="13" spans="1:25" s="104" customFormat="1" ht="24" customHeight="1">
      <c r="A13" s="53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83" t="e">
        <f>H14*0.27+H15*0.67+H16*0.06</f>
        <v>#REF!</v>
      </c>
      <c r="I13" s="83" t="e">
        <f>I14*0.27+I15*0.67+I16*0.06</f>
        <v>#REF!</v>
      </c>
      <c r="J13" s="33"/>
      <c r="K13" s="24"/>
      <c r="L13" s="29"/>
      <c r="M13" s="24"/>
      <c r="N13" s="23"/>
      <c r="O13" s="23"/>
      <c r="P13" s="23"/>
      <c r="Q13" s="23"/>
      <c r="R13" s="23"/>
      <c r="S13" s="23"/>
      <c r="T13" s="23"/>
      <c r="U13" s="23"/>
      <c r="V13" s="24"/>
      <c r="W13" s="22" t="e">
        <f t="shared" si="0"/>
        <v>#REF!</v>
      </c>
      <c r="X13" s="22" t="e">
        <f t="shared" si="0"/>
        <v>#REF!</v>
      </c>
      <c r="Y13" s="45">
        <v>17</v>
      </c>
    </row>
    <row r="14" spans="1:25" ht="15" customHeight="1">
      <c r="A14" s="53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23" t="e">
        <f>#REF!+80</f>
        <v>#REF!</v>
      </c>
      <c r="I14" s="112" t="e">
        <f>(H14+27)*1.015</f>
        <v>#REF!</v>
      </c>
      <c r="J14" s="32" t="s">
        <v>91</v>
      </c>
      <c r="K14" s="58"/>
      <c r="L14" s="34"/>
      <c r="M14" s="34"/>
      <c r="N14" s="58"/>
      <c r="O14" s="23"/>
      <c r="P14" s="34"/>
      <c r="Q14" s="58"/>
      <c r="R14" s="23"/>
      <c r="S14" s="34"/>
      <c r="T14" s="34"/>
      <c r="U14" s="34"/>
      <c r="V14" s="34"/>
      <c r="W14" s="30" t="e">
        <f t="shared" si="0"/>
        <v>#REF!</v>
      </c>
      <c r="X14" s="30" t="e">
        <f t="shared" si="0"/>
        <v>#REF!</v>
      </c>
      <c r="Y14" s="45">
        <v>17</v>
      </c>
    </row>
    <row r="15" spans="1:25" ht="15" customHeight="1">
      <c r="A15" s="53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23" t="e">
        <f>#REF!+80</f>
        <v>#REF!</v>
      </c>
      <c r="I15" s="112" t="e">
        <f>(H15+27)*1.015</f>
        <v>#REF!</v>
      </c>
      <c r="J15" s="32" t="s">
        <v>92</v>
      </c>
      <c r="K15" s="58"/>
      <c r="L15" s="34"/>
      <c r="M15" s="34"/>
      <c r="N15" s="58"/>
      <c r="O15" s="23"/>
      <c r="P15" s="34"/>
      <c r="Q15" s="58"/>
      <c r="R15" s="23"/>
      <c r="S15" s="34"/>
      <c r="T15" s="34"/>
      <c r="U15" s="34"/>
      <c r="V15" s="34"/>
      <c r="W15" s="30" t="e">
        <f t="shared" si="0"/>
        <v>#REF!</v>
      </c>
      <c r="X15" s="30" t="e">
        <f t="shared" si="0"/>
        <v>#REF!</v>
      </c>
      <c r="Y15" s="45">
        <v>17</v>
      </c>
    </row>
    <row r="16" spans="1:25" ht="15" customHeight="1">
      <c r="A16" s="53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23" t="e">
        <f>#REF!+80</f>
        <v>#REF!</v>
      </c>
      <c r="I16" s="112" t="e">
        <f>(H16+27)*1.015</f>
        <v>#REF!</v>
      </c>
      <c r="J16" s="32" t="s">
        <v>91</v>
      </c>
      <c r="K16" s="58"/>
      <c r="L16" s="34"/>
      <c r="M16" s="34"/>
      <c r="N16" s="58"/>
      <c r="O16" s="23"/>
      <c r="P16" s="34"/>
      <c r="Q16" s="58"/>
      <c r="R16" s="23"/>
      <c r="S16" s="34"/>
      <c r="T16" s="34"/>
      <c r="U16" s="34"/>
      <c r="V16" s="34"/>
      <c r="W16" s="30" t="e">
        <f t="shared" si="0"/>
        <v>#REF!</v>
      </c>
      <c r="X16" s="30" t="e">
        <f t="shared" si="0"/>
        <v>#REF!</v>
      </c>
      <c r="Y16" s="45">
        <v>17</v>
      </c>
    </row>
    <row r="17" spans="1:25" ht="15" customHeight="1">
      <c r="A17" s="53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23" t="e">
        <f>#REF!+80</f>
        <v>#REF!</v>
      </c>
      <c r="I17" s="112" t="e">
        <f>(H17+27)*1.015</f>
        <v>#REF!</v>
      </c>
      <c r="J17" s="32" t="s">
        <v>91</v>
      </c>
      <c r="K17" s="58"/>
      <c r="L17" s="34"/>
      <c r="M17" s="34"/>
      <c r="N17" s="58"/>
      <c r="O17" s="23"/>
      <c r="P17" s="34"/>
      <c r="Q17" s="58"/>
      <c r="R17" s="23"/>
      <c r="S17" s="34"/>
      <c r="T17" s="34"/>
      <c r="U17" s="34"/>
      <c r="V17" s="34"/>
      <c r="W17" s="30" t="e">
        <f t="shared" si="0"/>
        <v>#REF!</v>
      </c>
      <c r="X17" s="30" t="e">
        <f t="shared" si="0"/>
        <v>#REF!</v>
      </c>
      <c r="Y17" s="45">
        <v>17</v>
      </c>
    </row>
    <row r="18" spans="1:25" s="104" customFormat="1" ht="36.75" customHeight="1">
      <c r="A18" s="53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83" t="e">
        <f>H19*0.6+H20*0.2+H21*0.2</f>
        <v>#REF!</v>
      </c>
      <c r="I18" s="83" t="e">
        <f>I19*0.6+I20*0.2+I21*0.2</f>
        <v>#REF!</v>
      </c>
      <c r="J18" s="33"/>
      <c r="K18" s="24"/>
      <c r="L18" s="24"/>
      <c r="M18" s="24"/>
      <c r="N18" s="58"/>
      <c r="O18" s="23"/>
      <c r="P18" s="34"/>
      <c r="Q18" s="58"/>
      <c r="R18" s="23"/>
      <c r="S18" s="34"/>
      <c r="T18" s="34"/>
      <c r="U18" s="34"/>
      <c r="V18" s="24"/>
      <c r="W18" s="22" t="e">
        <f t="shared" si="0"/>
        <v>#REF!</v>
      </c>
      <c r="X18" s="22" t="e">
        <f t="shared" si="0"/>
        <v>#REF!</v>
      </c>
      <c r="Y18" s="45">
        <v>17</v>
      </c>
    </row>
    <row r="19" spans="1:25" ht="15" customHeight="1">
      <c r="A19" s="53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23" t="e">
        <f>#REF!+80</f>
        <v>#REF!</v>
      </c>
      <c r="I19" s="23" t="e">
        <f>(H19+27)*1.015</f>
        <v>#REF!</v>
      </c>
      <c r="J19" s="32" t="s">
        <v>161</v>
      </c>
      <c r="K19" s="58"/>
      <c r="L19" s="34"/>
      <c r="M19" s="34"/>
      <c r="N19" s="58"/>
      <c r="O19" s="23"/>
      <c r="P19" s="34"/>
      <c r="Q19" s="58"/>
      <c r="R19" s="23"/>
      <c r="S19" s="34"/>
      <c r="T19" s="34"/>
      <c r="U19" s="34"/>
      <c r="V19" s="34"/>
      <c r="W19" s="30" t="e">
        <f t="shared" si="0"/>
        <v>#REF!</v>
      </c>
      <c r="X19" s="30" t="e">
        <f t="shared" si="0"/>
        <v>#REF!</v>
      </c>
      <c r="Y19" s="45">
        <v>17</v>
      </c>
    </row>
    <row r="20" spans="1:25" ht="15" customHeight="1">
      <c r="A20" s="53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23" t="e">
        <f>#REF!+80</f>
        <v>#REF!</v>
      </c>
      <c r="I20" s="23" t="e">
        <f>(H20+27)*1.015</f>
        <v>#REF!</v>
      </c>
      <c r="J20" s="32" t="s">
        <v>161</v>
      </c>
      <c r="K20" s="58"/>
      <c r="L20" s="34"/>
      <c r="M20" s="34"/>
      <c r="N20" s="58"/>
      <c r="O20" s="34"/>
      <c r="P20" s="34"/>
      <c r="Q20" s="58"/>
      <c r="R20" s="34"/>
      <c r="S20" s="34"/>
      <c r="T20" s="34"/>
      <c r="U20" s="34"/>
      <c r="V20" s="34"/>
      <c r="W20" s="30" t="e">
        <f t="shared" si="0"/>
        <v>#REF!</v>
      </c>
      <c r="X20" s="30" t="e">
        <f t="shared" si="0"/>
        <v>#REF!</v>
      </c>
      <c r="Y20" s="45">
        <v>17</v>
      </c>
    </row>
    <row r="21" spans="1:25" ht="15" customHeight="1">
      <c r="A21" s="53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23" t="e">
        <f>#REF!+80</f>
        <v>#REF!</v>
      </c>
      <c r="I21" s="23" t="e">
        <f>(H21+27)*1.015</f>
        <v>#REF!</v>
      </c>
      <c r="J21" s="32" t="s">
        <v>108</v>
      </c>
      <c r="K21" s="58"/>
      <c r="L21" s="34"/>
      <c r="M21" s="34"/>
      <c r="N21" s="58"/>
      <c r="O21" s="23"/>
      <c r="P21" s="34"/>
      <c r="Q21" s="58"/>
      <c r="R21" s="23"/>
      <c r="S21" s="34"/>
      <c r="T21" s="34"/>
      <c r="U21" s="34"/>
      <c r="V21" s="34"/>
      <c r="W21" s="30" t="e">
        <f t="shared" si="0"/>
        <v>#REF!</v>
      </c>
      <c r="X21" s="30" t="e">
        <f t="shared" si="0"/>
        <v>#REF!</v>
      </c>
      <c r="Y21" s="45">
        <v>17</v>
      </c>
    </row>
    <row r="22" spans="1:25" ht="15" customHeight="1">
      <c r="A22" s="53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 t="e">
        <f>#REF!+80</f>
        <v>#REF!</v>
      </c>
      <c r="I22" s="23" t="e">
        <f>(H22+27)*1.015</f>
        <v>#REF!</v>
      </c>
      <c r="J22" s="114"/>
      <c r="K22" s="58"/>
      <c r="L22" s="34"/>
      <c r="M22" s="34"/>
      <c r="N22" s="58"/>
      <c r="O22" s="23"/>
      <c r="P22" s="34"/>
      <c r="Q22" s="58"/>
      <c r="R22" s="23"/>
      <c r="S22" s="34"/>
      <c r="T22" s="34"/>
      <c r="U22" s="34"/>
      <c r="V22" s="34"/>
      <c r="W22" s="30" t="e">
        <f>AVERAGE(H22,K22,N22,Q22,T22)</f>
        <v>#REF!</v>
      </c>
      <c r="X22" s="30" t="e">
        <f t="shared" si="0"/>
        <v>#REF!</v>
      </c>
      <c r="Y22" s="45">
        <v>17</v>
      </c>
    </row>
    <row r="23" spans="1:25" ht="15" customHeight="1">
      <c r="A23" s="53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 t="e">
        <f>#REF!+80</f>
        <v>#REF!</v>
      </c>
      <c r="I23" s="23" t="e">
        <f>(H23+27)*1.015</f>
        <v>#REF!</v>
      </c>
      <c r="J23" s="114"/>
      <c r="K23" s="58"/>
      <c r="L23" s="34"/>
      <c r="M23" s="34"/>
      <c r="N23" s="58"/>
      <c r="O23" s="23"/>
      <c r="P23" s="34"/>
      <c r="Q23" s="58"/>
      <c r="R23" s="23"/>
      <c r="S23" s="34"/>
      <c r="T23" s="34"/>
      <c r="U23" s="34"/>
      <c r="V23" s="34"/>
      <c r="W23" s="30" t="e">
        <f t="shared" si="0"/>
        <v>#REF!</v>
      </c>
      <c r="X23" s="30" t="e">
        <f t="shared" si="0"/>
        <v>#REF!</v>
      </c>
      <c r="Y23" s="45">
        <v>17</v>
      </c>
    </row>
    <row r="24" spans="1:25" s="104" customFormat="1" ht="24.75" customHeight="1">
      <c r="A24" s="53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24">
        <f>H26*0.75+H28*0.25</f>
        <v>305</v>
      </c>
      <c r="I24" s="24">
        <f>I26*0.75+I28*0.25</f>
        <v>322.92224999999996</v>
      </c>
      <c r="J24" s="36"/>
      <c r="K24" s="24">
        <f>K26*0.75+K28*0.25</f>
        <v>317.5</v>
      </c>
      <c r="L24" s="24">
        <f>L26*0.75+L28*0.25</f>
        <v>335.73662499999995</v>
      </c>
      <c r="M24" s="29"/>
      <c r="N24" s="24">
        <f>N26*0.75+N28*0.25</f>
        <v>321.25</v>
      </c>
      <c r="O24" s="24">
        <f>O26*0.75+O28*0.25</f>
        <v>339.58093749999995</v>
      </c>
      <c r="P24" s="29"/>
      <c r="Q24" s="24">
        <f>Q26*0.75+Q28*0.25</f>
        <v>315</v>
      </c>
      <c r="R24" s="24">
        <f>R26*0.75+R28*0.25</f>
        <v>333.17375</v>
      </c>
      <c r="S24" s="29"/>
      <c r="T24" s="24">
        <f>T26*0.75+T28*0.25</f>
        <v>321.25</v>
      </c>
      <c r="U24" s="24">
        <f>U26*0.75+U28*0.25</f>
        <v>339.58093749999995</v>
      </c>
      <c r="V24" s="29"/>
      <c r="W24" s="22">
        <f t="shared" si="0"/>
        <v>316</v>
      </c>
      <c r="X24" s="22">
        <f t="shared" si="0"/>
        <v>334.1988999999999</v>
      </c>
      <c r="Y24" s="45">
        <v>17</v>
      </c>
    </row>
    <row r="25" spans="1:25" ht="15" customHeight="1">
      <c r="A25" s="53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23">
        <v>325</v>
      </c>
      <c r="I25" s="23">
        <f>(H25+10)*1.015*1.01</f>
        <v>343.42525</v>
      </c>
      <c r="J25" s="23" t="s">
        <v>99</v>
      </c>
      <c r="K25" s="23">
        <v>320</v>
      </c>
      <c r="L25" s="23">
        <f aca="true" t="shared" si="1" ref="L25:L31">(K25+10)*1.015*1.01</f>
        <v>338.29949999999997</v>
      </c>
      <c r="M25" s="23"/>
      <c r="N25" s="23">
        <v>335</v>
      </c>
      <c r="O25" s="23">
        <f>(N25+10)*1.015*1.01</f>
        <v>353.67674999999997</v>
      </c>
      <c r="P25" s="23"/>
      <c r="Q25" s="23">
        <v>320</v>
      </c>
      <c r="R25" s="23">
        <f>(Q25+10)*1.015*1.01</f>
        <v>338.29949999999997</v>
      </c>
      <c r="S25" s="23" t="s">
        <v>211</v>
      </c>
      <c r="T25" s="23">
        <v>335</v>
      </c>
      <c r="U25" s="23">
        <f>(T25+10)*1.015*1.01</f>
        <v>353.67674999999997</v>
      </c>
      <c r="V25" s="23"/>
      <c r="W25" s="30">
        <f t="shared" si="0"/>
        <v>327</v>
      </c>
      <c r="X25" s="30">
        <f t="shared" si="0"/>
        <v>345.47555</v>
      </c>
      <c r="Y25" s="45">
        <v>17</v>
      </c>
    </row>
    <row r="26" spans="1:25" ht="15" customHeight="1">
      <c r="A26" s="53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23">
        <v>300</v>
      </c>
      <c r="I26" s="23">
        <f>(H26+10)*1.015*1.01</f>
        <v>317.7965</v>
      </c>
      <c r="J26" s="23" t="s">
        <v>99</v>
      </c>
      <c r="K26" s="23">
        <v>305</v>
      </c>
      <c r="L26" s="23">
        <f t="shared" si="1"/>
        <v>322.92224999999996</v>
      </c>
      <c r="M26" s="23"/>
      <c r="N26" s="23">
        <v>310</v>
      </c>
      <c r="O26" s="23">
        <f>(N26+10)*1.015*1.01</f>
        <v>328.04799999999994</v>
      </c>
      <c r="P26" s="23"/>
      <c r="Q26" s="23">
        <v>305</v>
      </c>
      <c r="R26" s="23">
        <f>(Q26+10)*1.015*1.01</f>
        <v>322.92224999999996</v>
      </c>
      <c r="S26" s="23" t="s">
        <v>211</v>
      </c>
      <c r="T26" s="23">
        <v>315</v>
      </c>
      <c r="U26" s="23">
        <f>(T26+10)*1.015*1.01</f>
        <v>333.1737499999999</v>
      </c>
      <c r="V26" s="23"/>
      <c r="W26" s="30">
        <f t="shared" si="0"/>
        <v>307</v>
      </c>
      <c r="X26" s="30">
        <f t="shared" si="0"/>
        <v>324.97254999999996</v>
      </c>
      <c r="Y26" s="45">
        <v>17</v>
      </c>
    </row>
    <row r="27" spans="1:25" ht="15" customHeight="1">
      <c r="A27" s="53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23">
        <v>360</v>
      </c>
      <c r="I27" s="23">
        <f>(H27+10)*1.015*1.01</f>
        <v>379.30549999999994</v>
      </c>
      <c r="J27" s="23" t="s">
        <v>265</v>
      </c>
      <c r="K27" s="23">
        <v>360</v>
      </c>
      <c r="L27" s="23">
        <f t="shared" si="1"/>
        <v>379.30549999999994</v>
      </c>
      <c r="M27" s="23"/>
      <c r="N27" s="23">
        <v>370</v>
      </c>
      <c r="O27" s="23">
        <f>(N27+10)*1.015*1.01</f>
        <v>389.557</v>
      </c>
      <c r="P27" s="23"/>
      <c r="Q27" s="23">
        <v>360</v>
      </c>
      <c r="R27" s="23">
        <f>(Q27+10)*1.015*1.01</f>
        <v>379.30549999999994</v>
      </c>
      <c r="S27" s="23" t="s">
        <v>211</v>
      </c>
      <c r="T27" s="23">
        <v>360</v>
      </c>
      <c r="U27" s="23">
        <f>(T27+10)*1.015*1.01</f>
        <v>379.30549999999994</v>
      </c>
      <c r="V27" s="23"/>
      <c r="W27" s="30">
        <f t="shared" si="0"/>
        <v>362</v>
      </c>
      <c r="X27" s="30">
        <f t="shared" si="0"/>
        <v>381.35579999999993</v>
      </c>
      <c r="Y27" s="45">
        <v>17</v>
      </c>
    </row>
    <row r="28" spans="1:25" ht="15" customHeight="1">
      <c r="A28" s="53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23">
        <v>320</v>
      </c>
      <c r="I28" s="23">
        <f>(H28+10)*1.015*1.01</f>
        <v>338.29949999999997</v>
      </c>
      <c r="J28" s="23" t="s">
        <v>265</v>
      </c>
      <c r="K28" s="23">
        <v>355</v>
      </c>
      <c r="L28" s="23">
        <f t="shared" si="1"/>
        <v>374.17974999999996</v>
      </c>
      <c r="M28" s="23"/>
      <c r="N28" s="23">
        <v>355</v>
      </c>
      <c r="O28" s="23">
        <f>(N28+10)*1.015*1.01</f>
        <v>374.17974999999996</v>
      </c>
      <c r="P28" s="23"/>
      <c r="Q28" s="23">
        <v>345</v>
      </c>
      <c r="R28" s="23">
        <f>(Q28+10)*1.015*1.01</f>
        <v>363.92825</v>
      </c>
      <c r="S28" s="23" t="s">
        <v>211</v>
      </c>
      <c r="T28" s="23">
        <v>340</v>
      </c>
      <c r="U28" s="23">
        <f>(T28+10)*1.015*1.01</f>
        <v>358.80249999999995</v>
      </c>
      <c r="V28" s="23"/>
      <c r="W28" s="30">
        <f t="shared" si="0"/>
        <v>343</v>
      </c>
      <c r="X28" s="30">
        <f t="shared" si="0"/>
        <v>361.87794999999994</v>
      </c>
      <c r="Y28" s="45">
        <v>17</v>
      </c>
    </row>
    <row r="29" spans="1:24" s="105" customFormat="1" ht="15" customHeight="1" hidden="1">
      <c r="A29" s="53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110"/>
      <c r="I29" s="38">
        <v>6.37</v>
      </c>
      <c r="J29" s="26"/>
      <c r="K29" s="115"/>
      <c r="L29" s="58">
        <f t="shared" si="1"/>
        <v>10.251499999999998</v>
      </c>
      <c r="M29" s="26"/>
      <c r="N29" s="26"/>
      <c r="O29" s="38">
        <v>6.37</v>
      </c>
      <c r="P29" s="26"/>
      <c r="Q29" s="26"/>
      <c r="R29" s="38">
        <v>6.37</v>
      </c>
      <c r="S29" s="26"/>
      <c r="T29" s="110"/>
      <c r="U29" s="38">
        <v>6.37</v>
      </c>
      <c r="V29" s="26"/>
      <c r="W29" s="42"/>
      <c r="X29" s="42">
        <f>AVERAGE(I29,L29,O29,R29,U29)</f>
        <v>7.146299999999999</v>
      </c>
    </row>
    <row r="30" spans="1:24" s="105" customFormat="1" ht="15" customHeight="1" hidden="1">
      <c r="A30" s="53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110"/>
      <c r="I30" s="38">
        <v>6.75</v>
      </c>
      <c r="J30" s="26"/>
      <c r="K30" s="115"/>
      <c r="L30" s="58">
        <f t="shared" si="1"/>
        <v>10.251499999999998</v>
      </c>
      <c r="M30" s="26"/>
      <c r="N30" s="26"/>
      <c r="O30" s="38">
        <v>6.75</v>
      </c>
      <c r="P30" s="26"/>
      <c r="Q30" s="26"/>
      <c r="R30" s="38">
        <v>6.75</v>
      </c>
      <c r="S30" s="26"/>
      <c r="T30" s="110"/>
      <c r="U30" s="38">
        <v>6.75</v>
      </c>
      <c r="V30" s="26"/>
      <c r="W30" s="42"/>
      <c r="X30" s="42">
        <f>AVERAGE(I30,L30,O30,R30,U30)</f>
        <v>7.4503</v>
      </c>
    </row>
    <row r="31" spans="1:24" s="105" customFormat="1" ht="15" customHeight="1" hidden="1">
      <c r="A31" s="53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110"/>
      <c r="I31" s="38">
        <v>5.75</v>
      </c>
      <c r="J31" s="26"/>
      <c r="K31" s="115"/>
      <c r="L31" s="58">
        <f t="shared" si="1"/>
        <v>10.251499999999998</v>
      </c>
      <c r="M31" s="26"/>
      <c r="N31" s="26"/>
      <c r="O31" s="38">
        <v>5.75</v>
      </c>
      <c r="P31" s="26"/>
      <c r="Q31" s="26"/>
      <c r="R31" s="38">
        <v>5.75</v>
      </c>
      <c r="S31" s="26"/>
      <c r="T31" s="110"/>
      <c r="U31" s="38">
        <v>5.75</v>
      </c>
      <c r="V31" s="26"/>
      <c r="W31" s="42"/>
      <c r="X31" s="42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7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8"/>
      <c r="B3" s="69"/>
      <c r="C3" s="69"/>
      <c r="D3" s="69"/>
      <c r="E3" s="69"/>
      <c r="F3" s="69"/>
      <c r="G3" s="69"/>
      <c r="H3" s="69"/>
      <c r="I3" s="69"/>
      <c r="J3" s="88"/>
      <c r="K3" s="88"/>
      <c r="L3" s="88"/>
      <c r="M3" s="88"/>
      <c r="N3" s="88"/>
      <c r="O3" s="97"/>
      <c r="P3" s="97"/>
    </row>
    <row r="4" spans="1:22" ht="14.25" customHeight="1">
      <c r="A4" s="70" t="s">
        <v>2</v>
      </c>
      <c r="B4" s="46" t="s">
        <v>3</v>
      </c>
      <c r="C4" s="71" t="s">
        <v>4</v>
      </c>
      <c r="D4" s="72"/>
      <c r="E4" s="70" t="s">
        <v>5</v>
      </c>
      <c r="F4" s="46" t="s">
        <v>6</v>
      </c>
      <c r="G4" s="70" t="s">
        <v>7</v>
      </c>
      <c r="H4" s="79" t="s">
        <v>267</v>
      </c>
      <c r="I4" s="89"/>
      <c r="J4" s="90"/>
      <c r="K4" s="79" t="s">
        <v>268</v>
      </c>
      <c r="L4" s="89"/>
      <c r="M4" s="90"/>
      <c r="N4" s="79" t="s">
        <v>269</v>
      </c>
      <c r="O4" s="89"/>
      <c r="P4" s="90"/>
      <c r="Q4" s="79" t="s">
        <v>270</v>
      </c>
      <c r="R4" s="89"/>
      <c r="S4" s="90"/>
      <c r="T4" s="86" t="s">
        <v>271</v>
      </c>
      <c r="U4" s="89"/>
      <c r="V4" s="90"/>
    </row>
    <row r="5" spans="1:25" ht="18" customHeight="1">
      <c r="A5" s="73"/>
      <c r="B5" s="53"/>
      <c r="C5" s="74"/>
      <c r="D5" s="75"/>
      <c r="E5" s="73"/>
      <c r="F5" s="53"/>
      <c r="G5" s="73"/>
      <c r="H5" s="80" t="s">
        <v>14</v>
      </c>
      <c r="I5" s="80" t="s">
        <v>15</v>
      </c>
      <c r="J5" s="80" t="s">
        <v>106</v>
      </c>
      <c r="K5" s="80" t="s">
        <v>14</v>
      </c>
      <c r="L5" s="80" t="s">
        <v>15</v>
      </c>
      <c r="M5" s="80" t="s">
        <v>106</v>
      </c>
      <c r="N5" s="80" t="s">
        <v>14</v>
      </c>
      <c r="O5" s="80" t="s">
        <v>15</v>
      </c>
      <c r="P5" s="80" t="s">
        <v>106</v>
      </c>
      <c r="Q5" s="80" t="s">
        <v>14</v>
      </c>
      <c r="R5" s="80" t="s">
        <v>15</v>
      </c>
      <c r="S5" s="80" t="s">
        <v>106</v>
      </c>
      <c r="T5" s="80" t="s">
        <v>14</v>
      </c>
      <c r="U5" s="80" t="s">
        <v>15</v>
      </c>
      <c r="V5" s="80" t="s">
        <v>106</v>
      </c>
      <c r="X5" s="6" t="s">
        <v>15</v>
      </c>
      <c r="Y5" s="6" t="s">
        <v>106</v>
      </c>
    </row>
    <row r="6" spans="1:25" s="61" customFormat="1" ht="23.25" customHeight="1">
      <c r="A6" s="73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81" t="s">
        <v>21</v>
      </c>
      <c r="H6" s="82" t="e">
        <f>H7*0.8+H8*0.2</f>
        <v>#REF!</v>
      </c>
      <c r="I6" s="82" t="e">
        <f>I7*0.8+I8*0.2</f>
        <v>#REF!</v>
      </c>
      <c r="J6" s="29"/>
      <c r="K6" s="55"/>
      <c r="L6" s="30"/>
      <c r="M6" s="29"/>
      <c r="N6" s="55"/>
      <c r="O6" s="30"/>
      <c r="P6" s="29"/>
      <c r="Q6" s="30"/>
      <c r="R6" s="30"/>
      <c r="S6" s="29"/>
      <c r="T6" s="55"/>
      <c r="U6" s="30"/>
      <c r="V6" s="29"/>
      <c r="X6" s="22">
        <f>X7*0.8+X8*0.2</f>
        <v>4006</v>
      </c>
      <c r="Y6" s="29"/>
    </row>
    <row r="7" spans="1:25" ht="28.5" customHeight="1">
      <c r="A7" s="73">
        <v>2</v>
      </c>
      <c r="B7" s="9"/>
      <c r="C7" s="9"/>
      <c r="D7" s="10" t="s">
        <v>22</v>
      </c>
      <c r="E7" s="9"/>
      <c r="F7" s="10" t="s">
        <v>23</v>
      </c>
      <c r="G7" s="77" t="s">
        <v>21</v>
      </c>
      <c r="H7" s="23" t="e">
        <f>#REF!+200</f>
        <v>#REF!</v>
      </c>
      <c r="I7" s="23" t="e">
        <f aca="true" t="shared" si="0" ref="I7:I13">(H7+27)*1.015</f>
        <v>#REF!</v>
      </c>
      <c r="J7" s="31"/>
      <c r="K7" s="58"/>
      <c r="L7" s="23"/>
      <c r="M7" s="29"/>
      <c r="N7" s="58"/>
      <c r="O7" s="23"/>
      <c r="P7" s="34"/>
      <c r="Q7" s="23"/>
      <c r="R7" s="23"/>
      <c r="S7" s="34"/>
      <c r="T7" s="58"/>
      <c r="U7" s="23"/>
      <c r="V7" s="34"/>
      <c r="X7" s="23">
        <v>4040</v>
      </c>
      <c r="Y7" s="102" t="s">
        <v>208</v>
      </c>
    </row>
    <row r="8" spans="1:25" ht="14.25" customHeight="1">
      <c r="A8" s="73">
        <v>3</v>
      </c>
      <c r="B8" s="9"/>
      <c r="C8" s="9"/>
      <c r="D8" s="10" t="s">
        <v>24</v>
      </c>
      <c r="E8" s="9"/>
      <c r="F8" s="10" t="s">
        <v>25</v>
      </c>
      <c r="G8" s="77" t="s">
        <v>21</v>
      </c>
      <c r="H8" s="23" t="e">
        <f>#REF!+200</f>
        <v>#REF!</v>
      </c>
      <c r="I8" s="23" t="e">
        <f t="shared" si="0"/>
        <v>#REF!</v>
      </c>
      <c r="J8" s="32" t="s">
        <v>89</v>
      </c>
      <c r="K8" s="58"/>
      <c r="L8" s="23"/>
      <c r="M8" s="29"/>
      <c r="N8" s="58"/>
      <c r="O8" s="23"/>
      <c r="P8" s="34"/>
      <c r="Q8" s="23"/>
      <c r="R8" s="23"/>
      <c r="S8" s="34"/>
      <c r="T8" s="58"/>
      <c r="U8" s="23"/>
      <c r="V8" s="34"/>
      <c r="X8" s="23">
        <v>3870</v>
      </c>
      <c r="Y8" s="102" t="s">
        <v>89</v>
      </c>
    </row>
    <row r="9" spans="1:25" s="61" customFormat="1" ht="33" customHeight="1">
      <c r="A9" s="73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81" t="s">
        <v>21</v>
      </c>
      <c r="H9" s="82" t="e">
        <f>H10*0.03+H11*0.38+H12*0.27+H13*0.32</f>
        <v>#REF!</v>
      </c>
      <c r="I9" s="82" t="e">
        <f>I10*0.03+I11*0.38+I12*0.27+I13*0.32</f>
        <v>#REF!</v>
      </c>
      <c r="J9" s="33"/>
      <c r="K9" s="58"/>
      <c r="L9" s="30"/>
      <c r="M9" s="29"/>
      <c r="N9" s="55"/>
      <c r="O9" s="30"/>
      <c r="P9" s="29"/>
      <c r="Q9" s="30"/>
      <c r="R9" s="30"/>
      <c r="S9" s="29"/>
      <c r="T9" s="55"/>
      <c r="U9" s="30"/>
      <c r="V9" s="29"/>
      <c r="X9" s="22">
        <f>X10*0.03+X11*0.38+X12*0.27+X13*0.32</f>
        <v>3655.8</v>
      </c>
      <c r="Y9" s="29"/>
    </row>
    <row r="10" spans="1:25" ht="14.25" customHeight="1">
      <c r="A10" s="73">
        <v>5</v>
      </c>
      <c r="B10" s="9"/>
      <c r="C10" s="9"/>
      <c r="D10" s="12" t="s">
        <v>29</v>
      </c>
      <c r="E10" s="9"/>
      <c r="F10" s="10" t="s">
        <v>30</v>
      </c>
      <c r="G10" s="77" t="s">
        <v>21</v>
      </c>
      <c r="H10" s="23" t="e">
        <f>#REF!+230</f>
        <v>#REF!</v>
      </c>
      <c r="I10" s="23" t="e">
        <f t="shared" si="0"/>
        <v>#REF!</v>
      </c>
      <c r="J10" s="32" t="s">
        <v>90</v>
      </c>
      <c r="K10" s="58"/>
      <c r="L10" s="23"/>
      <c r="M10" s="29"/>
      <c r="N10" s="58"/>
      <c r="O10" s="23"/>
      <c r="P10" s="34"/>
      <c r="Q10" s="23"/>
      <c r="R10" s="23"/>
      <c r="S10" s="34"/>
      <c r="T10" s="58"/>
      <c r="U10" s="23"/>
      <c r="V10" s="34"/>
      <c r="X10" s="23">
        <v>3830</v>
      </c>
      <c r="Y10" s="102" t="s">
        <v>90</v>
      </c>
    </row>
    <row r="11" spans="1:25" ht="14.25" customHeight="1">
      <c r="A11" s="73">
        <v>6</v>
      </c>
      <c r="B11" s="9"/>
      <c r="C11" s="9"/>
      <c r="D11" s="12" t="s">
        <v>29</v>
      </c>
      <c r="E11" s="9"/>
      <c r="F11" s="10" t="s">
        <v>31</v>
      </c>
      <c r="G11" s="77" t="s">
        <v>21</v>
      </c>
      <c r="H11" s="23" t="e">
        <f>#REF!+230</f>
        <v>#REF!</v>
      </c>
      <c r="I11" s="23" t="e">
        <f t="shared" si="0"/>
        <v>#REF!</v>
      </c>
      <c r="J11" s="32" t="s">
        <v>90</v>
      </c>
      <c r="K11" s="58"/>
      <c r="L11" s="23"/>
      <c r="M11" s="29"/>
      <c r="N11" s="58"/>
      <c r="O11" s="23"/>
      <c r="P11" s="34"/>
      <c r="Q11" s="23"/>
      <c r="R11" s="23"/>
      <c r="S11" s="34"/>
      <c r="T11" s="58"/>
      <c r="U11" s="23"/>
      <c r="V11" s="34"/>
      <c r="X11" s="23">
        <v>3640</v>
      </c>
      <c r="Y11" s="102" t="s">
        <v>89</v>
      </c>
    </row>
    <row r="12" spans="1:25" ht="14.25" customHeight="1">
      <c r="A12" s="73">
        <v>7</v>
      </c>
      <c r="B12" s="9"/>
      <c r="C12" s="9"/>
      <c r="D12" s="12" t="s">
        <v>29</v>
      </c>
      <c r="E12" s="9"/>
      <c r="F12" s="10" t="s">
        <v>32</v>
      </c>
      <c r="G12" s="77" t="s">
        <v>21</v>
      </c>
      <c r="H12" s="23" t="e">
        <f>#REF!+230</f>
        <v>#REF!</v>
      </c>
      <c r="I12" s="23" t="e">
        <f t="shared" si="0"/>
        <v>#REF!</v>
      </c>
      <c r="J12" s="32" t="s">
        <v>90</v>
      </c>
      <c r="K12" s="58"/>
      <c r="L12" s="23"/>
      <c r="M12" s="29"/>
      <c r="N12" s="58"/>
      <c r="O12" s="23"/>
      <c r="P12" s="34"/>
      <c r="Q12" s="23"/>
      <c r="R12" s="23"/>
      <c r="S12" s="34"/>
      <c r="T12" s="58"/>
      <c r="U12" s="23"/>
      <c r="V12" s="34"/>
      <c r="X12" s="23">
        <v>3630</v>
      </c>
      <c r="Y12" s="102" t="s">
        <v>90</v>
      </c>
    </row>
    <row r="13" spans="1:25" ht="14.25" customHeight="1">
      <c r="A13" s="73">
        <v>8</v>
      </c>
      <c r="B13" s="9"/>
      <c r="C13" s="9"/>
      <c r="D13" s="12" t="s">
        <v>29</v>
      </c>
      <c r="E13" s="9"/>
      <c r="F13" s="10" t="s">
        <v>33</v>
      </c>
      <c r="G13" s="77" t="s">
        <v>21</v>
      </c>
      <c r="H13" s="23" t="e">
        <f>#REF!+230</f>
        <v>#REF!</v>
      </c>
      <c r="I13" s="23" t="e">
        <f t="shared" si="0"/>
        <v>#REF!</v>
      </c>
      <c r="J13" s="32" t="s">
        <v>90</v>
      </c>
      <c r="K13" s="58"/>
      <c r="L13" s="23"/>
      <c r="M13" s="29"/>
      <c r="N13" s="58"/>
      <c r="O13" s="23"/>
      <c r="P13" s="34"/>
      <c r="Q13" s="23"/>
      <c r="R13" s="23"/>
      <c r="S13" s="34"/>
      <c r="T13" s="58"/>
      <c r="U13" s="23"/>
      <c r="V13" s="34"/>
      <c r="X13" s="23">
        <v>3680</v>
      </c>
      <c r="Y13" s="102" t="s">
        <v>90</v>
      </c>
    </row>
    <row r="14" spans="1:25" s="61" customFormat="1" ht="24.75" customHeight="1">
      <c r="A14" s="73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81" t="s">
        <v>21</v>
      </c>
      <c r="H14" s="83" t="e">
        <f>H15*0.27+H16*0.67+H17*0.06</f>
        <v>#REF!</v>
      </c>
      <c r="I14" s="83" t="e">
        <f>I15*0.27+I16*0.67+I17*0.06</f>
        <v>#REF!</v>
      </c>
      <c r="J14" s="33"/>
      <c r="K14" s="58"/>
      <c r="L14" s="23"/>
      <c r="M14" s="29"/>
      <c r="N14" s="23"/>
      <c r="O14" s="23"/>
      <c r="P14" s="23"/>
      <c r="Q14" s="23"/>
      <c r="R14" s="23"/>
      <c r="S14" s="23"/>
      <c r="T14" s="23"/>
      <c r="U14" s="23"/>
      <c r="V14" s="23"/>
      <c r="X14" s="24">
        <f>X15*0.27+X16*0.67+X17*0.06</f>
        <v>4027.3</v>
      </c>
      <c r="Y14" s="103"/>
    </row>
    <row r="15" spans="1:25" ht="14.25" customHeight="1">
      <c r="A15" s="73">
        <v>10</v>
      </c>
      <c r="B15" s="9"/>
      <c r="C15" s="9"/>
      <c r="D15" s="10" t="s">
        <v>37</v>
      </c>
      <c r="E15" s="9"/>
      <c r="F15" s="13" t="s">
        <v>38</v>
      </c>
      <c r="G15" s="77" t="s">
        <v>21</v>
      </c>
      <c r="H15" s="23" t="e">
        <f>#REF!+185</f>
        <v>#REF!</v>
      </c>
      <c r="I15" s="23" t="e">
        <f>(H15+27)*1.015</f>
        <v>#REF!</v>
      </c>
      <c r="J15" s="32" t="s">
        <v>91</v>
      </c>
      <c r="K15" s="58"/>
      <c r="L15" s="23"/>
      <c r="M15" s="29"/>
      <c r="N15" s="58"/>
      <c r="O15" s="23"/>
      <c r="P15" s="34"/>
      <c r="Q15" s="23"/>
      <c r="R15" s="23"/>
      <c r="S15" s="34"/>
      <c r="T15" s="58"/>
      <c r="U15" s="23"/>
      <c r="V15" s="34"/>
      <c r="X15" s="23">
        <v>3800</v>
      </c>
      <c r="Y15" s="102" t="s">
        <v>91</v>
      </c>
    </row>
    <row r="16" spans="1:25" ht="14.25" customHeight="1">
      <c r="A16" s="73">
        <v>11</v>
      </c>
      <c r="B16" s="9"/>
      <c r="C16" s="9"/>
      <c r="D16" s="10" t="s">
        <v>39</v>
      </c>
      <c r="E16" s="9"/>
      <c r="F16" s="13" t="s">
        <v>40</v>
      </c>
      <c r="G16" s="77" t="s">
        <v>21</v>
      </c>
      <c r="H16" s="23" t="e">
        <f>#REF!+185</f>
        <v>#REF!</v>
      </c>
      <c r="I16" s="23" t="e">
        <f>(H16+27)*1.015</f>
        <v>#REF!</v>
      </c>
      <c r="J16" s="32" t="s">
        <v>92</v>
      </c>
      <c r="K16" s="58"/>
      <c r="L16" s="23"/>
      <c r="M16" s="29"/>
      <c r="N16" s="58"/>
      <c r="O16" s="23"/>
      <c r="P16" s="34"/>
      <c r="Q16" s="23"/>
      <c r="R16" s="23"/>
      <c r="S16" s="34"/>
      <c r="T16" s="58"/>
      <c r="U16" s="23"/>
      <c r="V16" s="34"/>
      <c r="X16" s="23">
        <v>4150</v>
      </c>
      <c r="Y16" s="102" t="s">
        <v>92</v>
      </c>
    </row>
    <row r="17" spans="1:25" ht="14.25" customHeight="1">
      <c r="A17" s="73">
        <v>12</v>
      </c>
      <c r="B17" s="9"/>
      <c r="C17" s="9"/>
      <c r="D17" s="10" t="s">
        <v>41</v>
      </c>
      <c r="E17" s="9"/>
      <c r="F17" s="13" t="s">
        <v>42</v>
      </c>
      <c r="G17" s="77" t="s">
        <v>21</v>
      </c>
      <c r="H17" s="23" t="e">
        <f>#REF!+185</f>
        <v>#REF!</v>
      </c>
      <c r="I17" s="23" t="e">
        <f>(H17+27)*1.015</f>
        <v>#REF!</v>
      </c>
      <c r="J17" s="32" t="s">
        <v>91</v>
      </c>
      <c r="K17" s="58"/>
      <c r="L17" s="23"/>
      <c r="M17" s="29"/>
      <c r="N17" s="58"/>
      <c r="O17" s="23"/>
      <c r="P17" s="34"/>
      <c r="Q17" s="23"/>
      <c r="R17" s="23"/>
      <c r="S17" s="34"/>
      <c r="T17" s="58"/>
      <c r="U17" s="23"/>
      <c r="V17" s="34"/>
      <c r="X17" s="23">
        <v>3680</v>
      </c>
      <c r="Y17" s="102" t="s">
        <v>272</v>
      </c>
    </row>
    <row r="18" spans="1:25" ht="14.25" customHeight="1">
      <c r="A18" s="73">
        <v>13</v>
      </c>
      <c r="B18" s="9"/>
      <c r="C18" s="6" t="s">
        <v>43</v>
      </c>
      <c r="D18" s="9"/>
      <c r="E18" s="9">
        <v>183</v>
      </c>
      <c r="F18" s="13" t="s">
        <v>44</v>
      </c>
      <c r="G18" s="77" t="s">
        <v>21</v>
      </c>
      <c r="H18" s="23" t="e">
        <f>#REF!+185</f>
        <v>#REF!</v>
      </c>
      <c r="I18" s="23" t="e">
        <f aca="true" t="shared" si="1" ref="I18:I24">(H18+27)*1.015</f>
        <v>#REF!</v>
      </c>
      <c r="J18" s="32" t="s">
        <v>91</v>
      </c>
      <c r="K18" s="58"/>
      <c r="L18" s="23"/>
      <c r="M18" s="29"/>
      <c r="N18" s="58"/>
      <c r="O18" s="23"/>
      <c r="P18" s="34"/>
      <c r="Q18" s="23"/>
      <c r="R18" s="23"/>
      <c r="S18" s="34"/>
      <c r="T18" s="58"/>
      <c r="U18" s="23"/>
      <c r="V18" s="34"/>
      <c r="X18" s="24">
        <v>4980</v>
      </c>
      <c r="Y18" s="102" t="s">
        <v>107</v>
      </c>
    </row>
    <row r="19" spans="1:25" s="61" customFormat="1" ht="22.5" customHeight="1">
      <c r="A19" s="7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81" t="s">
        <v>21</v>
      </c>
      <c r="H19" s="83" t="e">
        <f>H20*0.6+H21*0.2+H22*0.2</f>
        <v>#REF!</v>
      </c>
      <c r="I19" s="83" t="e">
        <f>I20*0.6+I21*0.2+I22*0.2</f>
        <v>#REF!</v>
      </c>
      <c r="J19" s="33"/>
      <c r="K19" s="58"/>
      <c r="L19" s="24"/>
      <c r="M19" s="29"/>
      <c r="N19" s="55"/>
      <c r="O19" s="24"/>
      <c r="P19" s="29"/>
      <c r="Q19" s="24"/>
      <c r="R19" s="24"/>
      <c r="S19" s="24"/>
      <c r="T19" s="24"/>
      <c r="U19" s="24"/>
      <c r="V19" s="29"/>
      <c r="X19" s="24">
        <f>X20*0.6+X21*0.2+X22*0.2</f>
        <v>4642</v>
      </c>
      <c r="Y19" s="24"/>
    </row>
    <row r="20" spans="1:25" ht="14.25" customHeight="1">
      <c r="A20" s="73">
        <v>15</v>
      </c>
      <c r="B20" s="9"/>
      <c r="C20" s="9"/>
      <c r="D20" s="10" t="s">
        <v>48</v>
      </c>
      <c r="E20" s="25"/>
      <c r="F20" s="10" t="s">
        <v>49</v>
      </c>
      <c r="G20" s="77" t="s">
        <v>21</v>
      </c>
      <c r="H20" s="23" t="e">
        <f>#REF!+185</f>
        <v>#REF!</v>
      </c>
      <c r="I20" s="23" t="e">
        <f t="shared" si="1"/>
        <v>#REF!</v>
      </c>
      <c r="J20" s="32" t="s">
        <v>161</v>
      </c>
      <c r="K20" s="58"/>
      <c r="L20" s="23"/>
      <c r="M20" s="29"/>
      <c r="N20" s="58"/>
      <c r="O20" s="23"/>
      <c r="P20" s="34"/>
      <c r="Q20" s="23"/>
      <c r="R20" s="23"/>
      <c r="S20" s="34"/>
      <c r="T20" s="58"/>
      <c r="U20" s="23"/>
      <c r="V20" s="34"/>
      <c r="X20" s="23">
        <v>3970</v>
      </c>
      <c r="Y20" s="102" t="s">
        <v>195</v>
      </c>
    </row>
    <row r="21" spans="1:25" ht="14.25" customHeight="1">
      <c r="A21" s="73">
        <v>16</v>
      </c>
      <c r="B21" s="9"/>
      <c r="C21" s="9"/>
      <c r="D21" s="10" t="s">
        <v>50</v>
      </c>
      <c r="E21" s="25">
        <v>192</v>
      </c>
      <c r="F21" s="10" t="s">
        <v>51</v>
      </c>
      <c r="G21" s="77" t="s">
        <v>21</v>
      </c>
      <c r="H21" s="23" t="e">
        <f>#REF!+185</f>
        <v>#REF!</v>
      </c>
      <c r="I21" s="23" t="e">
        <f t="shared" si="1"/>
        <v>#REF!</v>
      </c>
      <c r="J21" s="32" t="s">
        <v>161</v>
      </c>
      <c r="K21" s="58"/>
      <c r="L21" s="34"/>
      <c r="M21" s="29"/>
      <c r="N21" s="58"/>
      <c r="O21" s="34"/>
      <c r="P21" s="34"/>
      <c r="Q21" s="34"/>
      <c r="R21" s="34"/>
      <c r="S21" s="34"/>
      <c r="T21" s="58"/>
      <c r="U21" s="34"/>
      <c r="V21" s="34"/>
      <c r="X21" s="34">
        <v>6300</v>
      </c>
      <c r="Y21" s="102"/>
    </row>
    <row r="22" spans="1:25" ht="14.25" customHeight="1">
      <c r="A22" s="73">
        <v>17</v>
      </c>
      <c r="B22" s="9"/>
      <c r="C22" s="9"/>
      <c r="D22" s="10" t="s">
        <v>52</v>
      </c>
      <c r="E22" s="25">
        <v>191</v>
      </c>
      <c r="F22" s="10" t="s">
        <v>53</v>
      </c>
      <c r="G22" s="77" t="s">
        <v>21</v>
      </c>
      <c r="H22" s="23" t="e">
        <f>#REF!+185</f>
        <v>#REF!</v>
      </c>
      <c r="I22" s="23" t="e">
        <f t="shared" si="1"/>
        <v>#REF!</v>
      </c>
      <c r="J22" s="32" t="s">
        <v>108</v>
      </c>
      <c r="K22" s="58"/>
      <c r="L22" s="23"/>
      <c r="M22" s="29"/>
      <c r="N22" s="58"/>
      <c r="O22" s="23"/>
      <c r="P22" s="34"/>
      <c r="Q22" s="23"/>
      <c r="R22" s="23"/>
      <c r="S22" s="34"/>
      <c r="T22" s="58"/>
      <c r="U22" s="23"/>
      <c r="V22" s="34"/>
      <c r="X22" s="23">
        <v>5000</v>
      </c>
      <c r="Y22" s="102" t="s">
        <v>94</v>
      </c>
    </row>
    <row r="23" spans="1:25" ht="14.25" customHeight="1">
      <c r="A23" s="73">
        <v>18</v>
      </c>
      <c r="B23" s="9"/>
      <c r="C23" s="10" t="s">
        <v>54</v>
      </c>
      <c r="D23" s="13"/>
      <c r="E23" s="9">
        <v>121</v>
      </c>
      <c r="F23" s="13"/>
      <c r="G23" s="77" t="s">
        <v>21</v>
      </c>
      <c r="H23" s="23" t="e">
        <f>#REF!+185</f>
        <v>#REF!</v>
      </c>
      <c r="I23" s="23" t="e">
        <f t="shared" si="1"/>
        <v>#REF!</v>
      </c>
      <c r="J23" s="32"/>
      <c r="K23" s="30"/>
      <c r="L23" s="23"/>
      <c r="M23" s="29"/>
      <c r="N23" s="30"/>
      <c r="O23" s="23"/>
      <c r="P23" s="34"/>
      <c r="Q23" s="23"/>
      <c r="R23" s="23"/>
      <c r="S23" s="34"/>
      <c r="T23" s="58"/>
      <c r="U23" s="23"/>
      <c r="V23" s="34"/>
      <c r="X23" s="23"/>
      <c r="Y23" s="34"/>
    </row>
    <row r="24" spans="1:25" ht="14.25" customHeight="1">
      <c r="A24" s="73">
        <v>19</v>
      </c>
      <c r="B24" s="9"/>
      <c r="C24" s="10" t="s">
        <v>55</v>
      </c>
      <c r="D24" s="13"/>
      <c r="E24" s="9">
        <v>125</v>
      </c>
      <c r="F24" s="10" t="s">
        <v>56</v>
      </c>
      <c r="G24" s="77" t="s">
        <v>21</v>
      </c>
      <c r="H24" s="23" t="e">
        <f>#REF!+185</f>
        <v>#REF!</v>
      </c>
      <c r="I24" s="23" t="e">
        <f t="shared" si="1"/>
        <v>#REF!</v>
      </c>
      <c r="J24" s="35"/>
      <c r="K24" s="30"/>
      <c r="L24" s="23"/>
      <c r="M24" s="29"/>
      <c r="N24" s="30"/>
      <c r="O24" s="23"/>
      <c r="P24" s="34"/>
      <c r="Q24" s="23"/>
      <c r="R24" s="23"/>
      <c r="S24" s="34"/>
      <c r="T24" s="58"/>
      <c r="U24" s="23"/>
      <c r="V24" s="34"/>
      <c r="X24" s="23">
        <v>5200</v>
      </c>
      <c r="Y24" s="102" t="s">
        <v>195</v>
      </c>
    </row>
    <row r="25" spans="1:25" s="61" customFormat="1" ht="22.5" customHeight="1">
      <c r="A25" s="74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81" t="s">
        <v>21</v>
      </c>
      <c r="H25" s="24">
        <f>H27*0.75+H29*0.25</f>
        <v>381.25</v>
      </c>
      <c r="I25" s="24">
        <f>I27*0.75+I29*0.25</f>
        <v>401.0899375</v>
      </c>
      <c r="J25" s="36"/>
      <c r="K25" s="24">
        <f>K27*0.75+K29*0.25</f>
        <v>357.5</v>
      </c>
      <c r="L25" s="24">
        <f>L27*0.75+L29*0.25</f>
        <v>376.742625</v>
      </c>
      <c r="M25" s="29"/>
      <c r="N25" s="24">
        <f>N27*0.75+N29*0.25</f>
        <v>337.5</v>
      </c>
      <c r="O25" s="24">
        <f>O27*0.75+O29*0.25</f>
        <v>356.23962499999993</v>
      </c>
      <c r="P25" s="29"/>
      <c r="Q25" s="24">
        <f>Q27*0.75+Q29*0.25</f>
        <v>350</v>
      </c>
      <c r="R25" s="24">
        <f>R27*0.75+R29*0.25</f>
        <v>369.054</v>
      </c>
      <c r="S25" s="29"/>
      <c r="T25" s="24">
        <f>T27*0.75+T29*0.25</f>
        <v>395.25</v>
      </c>
      <c r="U25" s="24">
        <f>U27*0.75+U29*0.25</f>
        <v>415.44203749999997</v>
      </c>
      <c r="V25" s="29"/>
      <c r="X25" s="24">
        <f>X27*0.75+X29*0.25</f>
        <v>367.5</v>
      </c>
      <c r="Y25" s="29"/>
    </row>
    <row r="26" spans="1:25" ht="14.25" customHeight="1">
      <c r="A26" s="74">
        <v>21</v>
      </c>
      <c r="B26" s="9"/>
      <c r="C26" s="13" t="s">
        <v>60</v>
      </c>
      <c r="D26" s="13"/>
      <c r="E26" s="9">
        <v>832</v>
      </c>
      <c r="F26" s="10" t="s">
        <v>61</v>
      </c>
      <c r="G26" s="77" t="s">
        <v>21</v>
      </c>
      <c r="H26" s="23">
        <v>385</v>
      </c>
      <c r="I26" s="23">
        <f>(H26+10)*1.015*1.01</f>
        <v>404.93424999999996</v>
      </c>
      <c r="J26" s="91" t="s">
        <v>236</v>
      </c>
      <c r="K26" s="23">
        <v>360</v>
      </c>
      <c r="L26" s="23">
        <f>(K26+10)*1.015*1.01</f>
        <v>379.30549999999994</v>
      </c>
      <c r="M26" s="91" t="s">
        <v>236</v>
      </c>
      <c r="N26" s="96">
        <v>350</v>
      </c>
      <c r="O26" s="96">
        <f>(N26+10)*1.015*1.01</f>
        <v>369.054</v>
      </c>
      <c r="P26" s="91" t="s">
        <v>236</v>
      </c>
      <c r="Q26" s="96">
        <v>350</v>
      </c>
      <c r="R26" s="96">
        <f>(Q26+10)*1.015*1.01</f>
        <v>369.054</v>
      </c>
      <c r="S26" s="91" t="s">
        <v>236</v>
      </c>
      <c r="T26" s="96">
        <v>399</v>
      </c>
      <c r="U26" s="96">
        <f>(T26+10)*1.015*1.01</f>
        <v>419.2863499999999</v>
      </c>
      <c r="V26" s="34"/>
      <c r="X26" s="23">
        <v>365</v>
      </c>
      <c r="Y26" s="102" t="s">
        <v>235</v>
      </c>
    </row>
    <row r="27" spans="1:25" ht="14.25" customHeight="1">
      <c r="A27" s="74">
        <v>22</v>
      </c>
      <c r="B27" s="9"/>
      <c r="C27" s="13" t="s">
        <v>60</v>
      </c>
      <c r="D27" s="13"/>
      <c r="E27" s="9"/>
      <c r="F27" s="10" t="s">
        <v>62</v>
      </c>
      <c r="G27" s="77" t="s">
        <v>21</v>
      </c>
      <c r="H27" s="23">
        <v>375</v>
      </c>
      <c r="I27" s="23">
        <f>(H27+10)*1.015*1.01</f>
        <v>394.68275</v>
      </c>
      <c r="J27" s="91" t="s">
        <v>236</v>
      </c>
      <c r="K27" s="23">
        <v>345</v>
      </c>
      <c r="L27" s="23">
        <f>(K27+10)*1.015*1.01</f>
        <v>363.92825</v>
      </c>
      <c r="M27" s="91" t="s">
        <v>236</v>
      </c>
      <c r="N27" s="96">
        <v>320</v>
      </c>
      <c r="O27" s="96">
        <f>(N27+10)*1.015*1.01</f>
        <v>338.29949999999997</v>
      </c>
      <c r="P27" s="91" t="s">
        <v>236</v>
      </c>
      <c r="Q27" s="96">
        <v>340</v>
      </c>
      <c r="R27" s="96">
        <f>(Q27+10)*1.015*1.01</f>
        <v>358.80249999999995</v>
      </c>
      <c r="S27" s="91" t="s">
        <v>236</v>
      </c>
      <c r="T27" s="96">
        <v>389</v>
      </c>
      <c r="U27" s="96">
        <f>(T27+10)*1.015*1.01</f>
        <v>409.03484999999995</v>
      </c>
      <c r="V27" s="34"/>
      <c r="X27" s="23">
        <v>355</v>
      </c>
      <c r="Y27" s="102" t="s">
        <v>235</v>
      </c>
    </row>
    <row r="28" spans="1:25" ht="14.25" customHeight="1">
      <c r="A28" s="74">
        <v>23</v>
      </c>
      <c r="B28" s="9"/>
      <c r="C28" s="13" t="s">
        <v>63</v>
      </c>
      <c r="D28" s="13"/>
      <c r="E28" s="9">
        <v>833</v>
      </c>
      <c r="F28" s="10" t="s">
        <v>61</v>
      </c>
      <c r="G28" s="77" t="s">
        <v>21</v>
      </c>
      <c r="H28" s="23">
        <v>430</v>
      </c>
      <c r="I28" s="23">
        <f>(H28+10)*1.015*1.01</f>
        <v>451.066</v>
      </c>
      <c r="J28" s="91" t="s">
        <v>236</v>
      </c>
      <c r="K28" s="23">
        <v>425</v>
      </c>
      <c r="L28" s="23">
        <f>(K28+10)*1.015*1.01</f>
        <v>445.94025</v>
      </c>
      <c r="M28" s="91" t="s">
        <v>236</v>
      </c>
      <c r="N28" s="96">
        <v>420</v>
      </c>
      <c r="O28" s="96">
        <f>(N28+10)*1.015*1.01</f>
        <v>440.81449999999995</v>
      </c>
      <c r="P28" s="91" t="s">
        <v>236</v>
      </c>
      <c r="Q28" s="96">
        <v>390</v>
      </c>
      <c r="R28" s="96">
        <f>(Q28+10)*1.015*1.01</f>
        <v>410.05999999999995</v>
      </c>
      <c r="S28" s="91" t="s">
        <v>236</v>
      </c>
      <c r="T28" s="96">
        <v>423</v>
      </c>
      <c r="U28" s="96">
        <f>(T28+10)*1.015*1.01</f>
        <v>443.88994999999994</v>
      </c>
      <c r="V28" s="34"/>
      <c r="X28" s="23">
        <v>415</v>
      </c>
      <c r="Y28" s="102"/>
    </row>
    <row r="29" spans="1:25" ht="14.25" customHeight="1">
      <c r="A29" s="76">
        <v>24</v>
      </c>
      <c r="B29" s="9"/>
      <c r="C29" s="13" t="s">
        <v>63</v>
      </c>
      <c r="D29" s="13"/>
      <c r="E29" s="9"/>
      <c r="F29" s="10" t="s">
        <v>62</v>
      </c>
      <c r="G29" s="77" t="s">
        <v>21</v>
      </c>
      <c r="H29" s="23">
        <v>400</v>
      </c>
      <c r="I29" s="23">
        <f>(H29+10)*1.015*1.01</f>
        <v>420.31149999999997</v>
      </c>
      <c r="J29" s="91" t="s">
        <v>236</v>
      </c>
      <c r="K29" s="23">
        <v>395</v>
      </c>
      <c r="L29" s="23">
        <f>(K29+10)*1.015*1.01</f>
        <v>415.18575</v>
      </c>
      <c r="M29" s="91" t="s">
        <v>236</v>
      </c>
      <c r="N29" s="96">
        <v>390</v>
      </c>
      <c r="O29" s="96">
        <f>(N29+10)*1.015*1.01</f>
        <v>410.05999999999995</v>
      </c>
      <c r="P29" s="91" t="s">
        <v>236</v>
      </c>
      <c r="Q29" s="96">
        <v>380</v>
      </c>
      <c r="R29" s="96">
        <f>(Q29+10)*1.015*1.01</f>
        <v>399.8085</v>
      </c>
      <c r="S29" s="91" t="s">
        <v>236</v>
      </c>
      <c r="T29" s="96">
        <v>414</v>
      </c>
      <c r="U29" s="96">
        <f>(T29+10)*1.015*1.01</f>
        <v>434.6636</v>
      </c>
      <c r="V29" s="34"/>
      <c r="X29" s="23">
        <v>405</v>
      </c>
      <c r="Y29" s="102"/>
    </row>
    <row r="30" spans="1:25" s="62" customFormat="1" ht="14.25" customHeight="1" hidden="1">
      <c r="A30" s="77">
        <v>25</v>
      </c>
      <c r="B30" s="6" t="s">
        <v>64</v>
      </c>
      <c r="C30" s="15" t="s">
        <v>65</v>
      </c>
      <c r="D30" s="16"/>
      <c r="E30" s="26"/>
      <c r="F30" s="27" t="s">
        <v>66</v>
      </c>
      <c r="G30" s="26" t="s">
        <v>67</v>
      </c>
      <c r="H30" s="84"/>
      <c r="I30" s="92">
        <v>6.3</v>
      </c>
      <c r="J30" s="93" t="s">
        <v>165</v>
      </c>
      <c r="K30" s="84"/>
      <c r="L30" s="92">
        <v>6.3</v>
      </c>
      <c r="M30" s="93" t="s">
        <v>165</v>
      </c>
      <c r="N30" s="84"/>
      <c r="O30" s="92">
        <v>6.3</v>
      </c>
      <c r="P30" s="93" t="s">
        <v>165</v>
      </c>
      <c r="Q30" s="30">
        <f>(R30/1.01/1.015)-10</f>
        <v>-3.854557869580061</v>
      </c>
      <c r="R30" s="92">
        <v>6.3</v>
      </c>
      <c r="S30" s="93" t="s">
        <v>165</v>
      </c>
      <c r="T30" s="84"/>
      <c r="U30" s="92">
        <v>6.3</v>
      </c>
      <c r="V30" s="93" t="s">
        <v>165</v>
      </c>
      <c r="X30" s="94">
        <v>6.05</v>
      </c>
      <c r="Y30" s="93" t="s">
        <v>165</v>
      </c>
    </row>
    <row r="31" spans="1:25" s="62" customFormat="1" ht="14.25" customHeight="1" hidden="1">
      <c r="A31" s="76">
        <v>26</v>
      </c>
      <c r="B31" s="6"/>
      <c r="C31" s="15" t="s">
        <v>65</v>
      </c>
      <c r="D31" s="16"/>
      <c r="E31" s="26">
        <v>862</v>
      </c>
      <c r="F31" s="27" t="s">
        <v>68</v>
      </c>
      <c r="G31" s="26" t="s">
        <v>67</v>
      </c>
      <c r="H31" s="84"/>
      <c r="I31" s="94">
        <v>6.75</v>
      </c>
      <c r="J31" s="93" t="s">
        <v>165</v>
      </c>
      <c r="K31" s="84"/>
      <c r="L31" s="94">
        <v>6.75</v>
      </c>
      <c r="M31" s="93" t="s">
        <v>165</v>
      </c>
      <c r="N31" s="84"/>
      <c r="O31" s="94">
        <v>6.75</v>
      </c>
      <c r="P31" s="93" t="s">
        <v>165</v>
      </c>
      <c r="Q31" s="30">
        <f>(R31/1.01/1.015)-10</f>
        <v>-3.4155977174072083</v>
      </c>
      <c r="R31" s="94">
        <v>6.75</v>
      </c>
      <c r="S31" s="93" t="s">
        <v>165</v>
      </c>
      <c r="T31" s="84"/>
      <c r="U31" s="94">
        <v>6.75</v>
      </c>
      <c r="V31" s="93" t="s">
        <v>165</v>
      </c>
      <c r="X31" s="94"/>
      <c r="Y31" s="93"/>
    </row>
    <row r="32" spans="1:25" s="62" customFormat="1" ht="14.25" customHeight="1" hidden="1">
      <c r="A32" s="77">
        <v>27</v>
      </c>
      <c r="B32" s="17"/>
      <c r="C32" s="10" t="s">
        <v>69</v>
      </c>
      <c r="D32" s="18"/>
      <c r="E32" s="26">
        <v>863</v>
      </c>
      <c r="F32" s="27" t="s">
        <v>70</v>
      </c>
      <c r="G32" s="85" t="s">
        <v>67</v>
      </c>
      <c r="H32" s="28"/>
      <c r="I32" s="26">
        <v>5.67</v>
      </c>
      <c r="J32" s="95" t="s">
        <v>165</v>
      </c>
      <c r="K32" s="28"/>
      <c r="L32" s="26">
        <v>5.67</v>
      </c>
      <c r="M32" s="95" t="s">
        <v>165</v>
      </c>
      <c r="N32" s="28"/>
      <c r="O32" s="26">
        <v>5.67</v>
      </c>
      <c r="P32" s="95" t="s">
        <v>165</v>
      </c>
      <c r="Q32" s="30">
        <f>(R32/1.01/1.015)-10</f>
        <v>-4.469102082622055</v>
      </c>
      <c r="R32" s="26">
        <v>5.67</v>
      </c>
      <c r="S32" s="95" t="s">
        <v>165</v>
      </c>
      <c r="T32" s="28"/>
      <c r="U32" s="26">
        <v>5.67</v>
      </c>
      <c r="V32" s="95" t="s">
        <v>165</v>
      </c>
      <c r="X32" s="26">
        <v>5.6</v>
      </c>
      <c r="Y32" s="95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8"/>
      <c r="B34" s="69"/>
      <c r="C34" s="69"/>
      <c r="D34" s="69"/>
      <c r="E34" s="69"/>
      <c r="F34" s="69"/>
      <c r="G34" s="69"/>
      <c r="H34" s="69"/>
      <c r="I34" s="69"/>
      <c r="J34" s="88"/>
      <c r="K34" s="88"/>
      <c r="L34" s="88"/>
      <c r="M34" s="88"/>
      <c r="N34" s="88"/>
      <c r="O34" s="97"/>
      <c r="P34" s="97"/>
      <c r="Q34" s="60"/>
      <c r="R34" s="60"/>
    </row>
    <row r="35" spans="1:21" ht="14.25" customHeight="1">
      <c r="A35" s="70" t="s">
        <v>2</v>
      </c>
      <c r="B35" s="46" t="s">
        <v>3</v>
      </c>
      <c r="C35" s="71" t="s">
        <v>4</v>
      </c>
      <c r="D35" s="72"/>
      <c r="E35" s="70" t="s">
        <v>5</v>
      </c>
      <c r="F35" s="46" t="s">
        <v>6</v>
      </c>
      <c r="G35" s="70" t="s">
        <v>7</v>
      </c>
      <c r="H35" s="86" t="s">
        <v>274</v>
      </c>
      <c r="I35" s="89"/>
      <c r="J35" s="90"/>
      <c r="K35" s="86" t="s">
        <v>275</v>
      </c>
      <c r="L35" s="89"/>
      <c r="M35" s="90"/>
      <c r="N35" s="86" t="s">
        <v>276</v>
      </c>
      <c r="O35" s="89"/>
      <c r="P35" s="90"/>
      <c r="Q35" s="79" t="s">
        <v>277</v>
      </c>
      <c r="R35" s="89"/>
      <c r="S35" s="90"/>
      <c r="T35" s="46" t="s">
        <v>172</v>
      </c>
      <c r="U35" s="46" t="s">
        <v>258</v>
      </c>
    </row>
    <row r="36" spans="1:21" ht="18" customHeight="1">
      <c r="A36" s="73"/>
      <c r="B36" s="53"/>
      <c r="C36" s="74"/>
      <c r="D36" s="75"/>
      <c r="E36" s="73"/>
      <c r="F36" s="53"/>
      <c r="G36" s="73"/>
      <c r="H36" s="80" t="s">
        <v>14</v>
      </c>
      <c r="I36" s="80" t="s">
        <v>15</v>
      </c>
      <c r="J36" s="80" t="s">
        <v>106</v>
      </c>
      <c r="K36" s="80" t="s">
        <v>14</v>
      </c>
      <c r="L36" s="80" t="s">
        <v>15</v>
      </c>
      <c r="M36" s="80" t="s">
        <v>106</v>
      </c>
      <c r="N36" s="80" t="s">
        <v>14</v>
      </c>
      <c r="O36" s="80" t="s">
        <v>15</v>
      </c>
      <c r="P36" s="80" t="s">
        <v>106</v>
      </c>
      <c r="Q36" s="80" t="s">
        <v>14</v>
      </c>
      <c r="R36" s="80" t="s">
        <v>15</v>
      </c>
      <c r="S36" s="80" t="s">
        <v>106</v>
      </c>
      <c r="T36" s="73"/>
      <c r="U36" s="73"/>
    </row>
    <row r="37" spans="1:21" s="61" customFormat="1" ht="23.25" customHeight="1">
      <c r="A37" s="73">
        <v>1</v>
      </c>
      <c r="B37" s="6" t="s">
        <v>16</v>
      </c>
      <c r="C37" s="6" t="s">
        <v>17</v>
      </c>
      <c r="D37" s="8" t="s">
        <v>18</v>
      </c>
      <c r="E37" s="9" t="s">
        <v>19</v>
      </c>
      <c r="F37" s="21" t="s">
        <v>20</v>
      </c>
      <c r="G37" s="81" t="s">
        <v>21</v>
      </c>
      <c r="H37" s="55"/>
      <c r="I37" s="30"/>
      <c r="J37" s="29"/>
      <c r="K37" s="30"/>
      <c r="L37" s="30"/>
      <c r="M37" s="29"/>
      <c r="N37" s="55"/>
      <c r="O37" s="30"/>
      <c r="P37" s="29"/>
      <c r="Q37" s="55"/>
      <c r="R37" s="30"/>
      <c r="S37" s="29"/>
      <c r="T37" s="99" t="e">
        <f aca="true" t="shared" si="2" ref="T37:T60">AVERAGE(H6,K6,N6,Q6,T6,H37,K37,N37,Q37)</f>
        <v>#REF!</v>
      </c>
      <c r="U37" s="99" t="e">
        <f aca="true" t="shared" si="3" ref="U37:U60">AVERAGE(I6,L6,O6,R6,U6,I37,L37,O37,R37)</f>
        <v>#REF!</v>
      </c>
    </row>
    <row r="38" spans="1:21" ht="25.5" customHeight="1">
      <c r="A38" s="73">
        <v>2</v>
      </c>
      <c r="B38" s="9"/>
      <c r="C38" s="9"/>
      <c r="D38" s="10" t="s">
        <v>22</v>
      </c>
      <c r="E38" s="9"/>
      <c r="F38" s="10" t="s">
        <v>23</v>
      </c>
      <c r="G38" s="77" t="s">
        <v>21</v>
      </c>
      <c r="H38" s="58"/>
      <c r="I38" s="23"/>
      <c r="J38" s="34"/>
      <c r="K38" s="23"/>
      <c r="L38" s="23"/>
      <c r="M38" s="34"/>
      <c r="N38" s="58"/>
      <c r="O38" s="23"/>
      <c r="P38" s="34"/>
      <c r="Q38" s="58"/>
      <c r="R38" s="23"/>
      <c r="S38" s="34"/>
      <c r="T38" s="87" t="e">
        <f t="shared" si="2"/>
        <v>#REF!</v>
      </c>
      <c r="U38" s="87" t="e">
        <f t="shared" si="3"/>
        <v>#REF!</v>
      </c>
    </row>
    <row r="39" spans="1:21" ht="12" customHeight="1">
      <c r="A39" s="73">
        <v>3</v>
      </c>
      <c r="B39" s="9"/>
      <c r="C39" s="9"/>
      <c r="D39" s="10" t="s">
        <v>24</v>
      </c>
      <c r="E39" s="9"/>
      <c r="F39" s="10" t="s">
        <v>25</v>
      </c>
      <c r="G39" s="77" t="s">
        <v>21</v>
      </c>
      <c r="H39" s="58"/>
      <c r="I39" s="23"/>
      <c r="J39" s="34"/>
      <c r="K39" s="23"/>
      <c r="L39" s="23"/>
      <c r="M39" s="34"/>
      <c r="N39" s="58"/>
      <c r="O39" s="23"/>
      <c r="P39" s="34"/>
      <c r="Q39" s="58"/>
      <c r="R39" s="23"/>
      <c r="S39" s="34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3">
        <v>4</v>
      </c>
      <c r="B40" s="9"/>
      <c r="C40" s="6" t="s">
        <v>26</v>
      </c>
      <c r="D40" s="11" t="s">
        <v>27</v>
      </c>
      <c r="E40" s="9">
        <v>112</v>
      </c>
      <c r="F40" s="21" t="s">
        <v>28</v>
      </c>
      <c r="G40" s="81" t="s">
        <v>21</v>
      </c>
      <c r="H40" s="55"/>
      <c r="I40" s="30"/>
      <c r="J40" s="29"/>
      <c r="K40" s="30"/>
      <c r="L40" s="30"/>
      <c r="M40" s="29"/>
      <c r="N40" s="55"/>
      <c r="O40" s="30"/>
      <c r="P40" s="29"/>
      <c r="Q40" s="55"/>
      <c r="R40" s="30"/>
      <c r="S40" s="29"/>
      <c r="T40" s="99" t="e">
        <f t="shared" si="2"/>
        <v>#REF!</v>
      </c>
      <c r="U40" s="99" t="e">
        <f t="shared" si="3"/>
        <v>#REF!</v>
      </c>
    </row>
    <row r="41" spans="1:21" ht="14.25" customHeight="1">
      <c r="A41" s="73">
        <v>5</v>
      </c>
      <c r="B41" s="9"/>
      <c r="C41" s="9"/>
      <c r="D41" s="12" t="s">
        <v>29</v>
      </c>
      <c r="E41" s="9"/>
      <c r="F41" s="10" t="s">
        <v>30</v>
      </c>
      <c r="G41" s="77" t="s">
        <v>21</v>
      </c>
      <c r="H41" s="58"/>
      <c r="I41" s="23"/>
      <c r="J41" s="34"/>
      <c r="K41" s="23"/>
      <c r="L41" s="23"/>
      <c r="M41" s="34"/>
      <c r="N41" s="58"/>
      <c r="O41" s="23"/>
      <c r="P41" s="34"/>
      <c r="Q41" s="58"/>
      <c r="R41" s="23"/>
      <c r="S41" s="34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3">
        <v>6</v>
      </c>
      <c r="B42" s="9"/>
      <c r="C42" s="9"/>
      <c r="D42" s="12" t="s">
        <v>29</v>
      </c>
      <c r="E42" s="9"/>
      <c r="F42" s="10" t="s">
        <v>31</v>
      </c>
      <c r="G42" s="77" t="s">
        <v>21</v>
      </c>
      <c r="H42" s="58"/>
      <c r="I42" s="23"/>
      <c r="J42" s="34"/>
      <c r="K42" s="23"/>
      <c r="L42" s="23"/>
      <c r="M42" s="34"/>
      <c r="N42" s="58"/>
      <c r="O42" s="23"/>
      <c r="P42" s="34"/>
      <c r="Q42" s="58"/>
      <c r="R42" s="23"/>
      <c r="S42" s="34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3">
        <v>7</v>
      </c>
      <c r="B43" s="9"/>
      <c r="C43" s="9"/>
      <c r="D43" s="12" t="s">
        <v>29</v>
      </c>
      <c r="E43" s="9"/>
      <c r="F43" s="10" t="s">
        <v>32</v>
      </c>
      <c r="G43" s="77" t="s">
        <v>21</v>
      </c>
      <c r="H43" s="58"/>
      <c r="I43" s="23"/>
      <c r="J43" s="34"/>
      <c r="K43" s="23"/>
      <c r="L43" s="23"/>
      <c r="M43" s="34"/>
      <c r="N43" s="58"/>
      <c r="O43" s="23"/>
      <c r="P43" s="34"/>
      <c r="Q43" s="58"/>
      <c r="R43" s="23"/>
      <c r="S43" s="34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3">
        <v>8</v>
      </c>
      <c r="B44" s="9"/>
      <c r="C44" s="9"/>
      <c r="D44" s="12" t="s">
        <v>29</v>
      </c>
      <c r="E44" s="9"/>
      <c r="F44" s="10" t="s">
        <v>33</v>
      </c>
      <c r="G44" s="77" t="s">
        <v>21</v>
      </c>
      <c r="H44" s="58"/>
      <c r="I44" s="23"/>
      <c r="J44" s="34"/>
      <c r="K44" s="23"/>
      <c r="L44" s="23"/>
      <c r="M44" s="34"/>
      <c r="N44" s="58"/>
      <c r="O44" s="23"/>
      <c r="P44" s="34"/>
      <c r="Q44" s="58"/>
      <c r="R44" s="23"/>
      <c r="S44" s="34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3">
        <v>9</v>
      </c>
      <c r="B45" s="9"/>
      <c r="C45" s="6" t="s">
        <v>34</v>
      </c>
      <c r="D45" s="11" t="s">
        <v>35</v>
      </c>
      <c r="E45" s="9">
        <v>182</v>
      </c>
      <c r="F45" s="21" t="s">
        <v>36</v>
      </c>
      <c r="G45" s="81" t="s">
        <v>21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99" t="e">
        <f t="shared" si="2"/>
        <v>#REF!</v>
      </c>
      <c r="U45" s="99" t="e">
        <f t="shared" si="3"/>
        <v>#REF!</v>
      </c>
    </row>
    <row r="46" spans="1:21" ht="14.25" customHeight="1">
      <c r="A46" s="73">
        <v>10</v>
      </c>
      <c r="B46" s="9"/>
      <c r="C46" s="9"/>
      <c r="D46" s="10" t="s">
        <v>37</v>
      </c>
      <c r="E46" s="9"/>
      <c r="F46" s="13" t="s">
        <v>38</v>
      </c>
      <c r="G46" s="77" t="s">
        <v>21</v>
      </c>
      <c r="H46" s="58"/>
      <c r="I46" s="23"/>
      <c r="J46" s="34"/>
      <c r="K46" s="23"/>
      <c r="L46" s="23"/>
      <c r="M46" s="34"/>
      <c r="N46" s="58"/>
      <c r="O46" s="23"/>
      <c r="P46" s="34"/>
      <c r="Q46" s="58"/>
      <c r="R46" s="23"/>
      <c r="S46" s="34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3">
        <v>11</v>
      </c>
      <c r="B47" s="9"/>
      <c r="C47" s="9"/>
      <c r="D47" s="10" t="s">
        <v>39</v>
      </c>
      <c r="E47" s="9"/>
      <c r="F47" s="13" t="s">
        <v>40</v>
      </c>
      <c r="G47" s="77" t="s">
        <v>21</v>
      </c>
      <c r="H47" s="58"/>
      <c r="I47" s="23"/>
      <c r="J47" s="34"/>
      <c r="K47" s="23"/>
      <c r="L47" s="23"/>
      <c r="M47" s="34"/>
      <c r="N47" s="58"/>
      <c r="O47" s="23"/>
      <c r="P47" s="34"/>
      <c r="Q47" s="58"/>
      <c r="R47" s="23"/>
      <c r="S47" s="34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3">
        <v>12</v>
      </c>
      <c r="B48" s="9"/>
      <c r="C48" s="9"/>
      <c r="D48" s="10" t="s">
        <v>41</v>
      </c>
      <c r="E48" s="9"/>
      <c r="F48" s="13" t="s">
        <v>42</v>
      </c>
      <c r="G48" s="77" t="s">
        <v>21</v>
      </c>
      <c r="H48" s="58"/>
      <c r="I48" s="23"/>
      <c r="J48" s="34"/>
      <c r="K48" s="23"/>
      <c r="L48" s="23"/>
      <c r="M48" s="34"/>
      <c r="N48" s="58"/>
      <c r="O48" s="23"/>
      <c r="P48" s="34"/>
      <c r="Q48" s="58"/>
      <c r="R48" s="23"/>
      <c r="S48" s="34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3">
        <v>13</v>
      </c>
      <c r="B49" s="9"/>
      <c r="C49" s="6" t="s">
        <v>43</v>
      </c>
      <c r="D49" s="9"/>
      <c r="E49" s="9">
        <v>183</v>
      </c>
      <c r="F49" s="13" t="s">
        <v>44</v>
      </c>
      <c r="G49" s="77" t="s">
        <v>21</v>
      </c>
      <c r="H49" s="58"/>
      <c r="I49" s="23"/>
      <c r="J49" s="34"/>
      <c r="K49" s="23"/>
      <c r="L49" s="23"/>
      <c r="M49" s="34"/>
      <c r="N49" s="58"/>
      <c r="O49" s="23"/>
      <c r="P49" s="34"/>
      <c r="Q49" s="58"/>
      <c r="R49" s="23"/>
      <c r="S49" s="34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3">
        <v>14</v>
      </c>
      <c r="B50" s="9"/>
      <c r="C50" s="6" t="s">
        <v>45</v>
      </c>
      <c r="D50" s="11" t="s">
        <v>46</v>
      </c>
      <c r="E50" s="25"/>
      <c r="F50" s="21" t="s">
        <v>47</v>
      </c>
      <c r="G50" s="81" t="s">
        <v>21</v>
      </c>
      <c r="H50" s="55"/>
      <c r="I50" s="24"/>
      <c r="J50" s="29"/>
      <c r="K50" s="24"/>
      <c r="L50" s="24"/>
      <c r="M50" s="24"/>
      <c r="N50" s="24"/>
      <c r="O50" s="24"/>
      <c r="P50" s="29"/>
      <c r="Q50" s="55"/>
      <c r="R50" s="24"/>
      <c r="S50" s="29"/>
      <c r="T50" s="99" t="e">
        <f t="shared" si="2"/>
        <v>#REF!</v>
      </c>
      <c r="U50" s="99" t="e">
        <f t="shared" si="3"/>
        <v>#REF!</v>
      </c>
    </row>
    <row r="51" spans="1:21" ht="14.25" customHeight="1">
      <c r="A51" s="73">
        <v>15</v>
      </c>
      <c r="B51" s="9"/>
      <c r="C51" s="9"/>
      <c r="D51" s="10" t="s">
        <v>48</v>
      </c>
      <c r="E51" s="25"/>
      <c r="F51" s="10" t="s">
        <v>49</v>
      </c>
      <c r="G51" s="77" t="s">
        <v>21</v>
      </c>
      <c r="H51" s="58"/>
      <c r="I51" s="23"/>
      <c r="J51" s="34"/>
      <c r="K51" s="23"/>
      <c r="L51" s="23"/>
      <c r="M51" s="34"/>
      <c r="N51" s="58"/>
      <c r="O51" s="23"/>
      <c r="P51" s="34"/>
      <c r="Q51" s="58"/>
      <c r="R51" s="23"/>
      <c r="S51" s="34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3">
        <v>16</v>
      </c>
      <c r="B52" s="9"/>
      <c r="C52" s="9"/>
      <c r="D52" s="10" t="s">
        <v>50</v>
      </c>
      <c r="E52" s="25">
        <v>192</v>
      </c>
      <c r="F52" s="10" t="s">
        <v>51</v>
      </c>
      <c r="G52" s="77" t="s">
        <v>21</v>
      </c>
      <c r="H52" s="58"/>
      <c r="I52" s="34"/>
      <c r="J52" s="34"/>
      <c r="K52" s="34"/>
      <c r="L52" s="34"/>
      <c r="M52" s="34"/>
      <c r="N52" s="58"/>
      <c r="O52" s="34"/>
      <c r="P52" s="34"/>
      <c r="Q52" s="58"/>
      <c r="R52" s="34"/>
      <c r="S52" s="34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3">
        <v>17</v>
      </c>
      <c r="B53" s="9"/>
      <c r="C53" s="9"/>
      <c r="D53" s="10" t="s">
        <v>52</v>
      </c>
      <c r="E53" s="25">
        <v>191</v>
      </c>
      <c r="F53" s="10" t="s">
        <v>53</v>
      </c>
      <c r="G53" s="77" t="s">
        <v>21</v>
      </c>
      <c r="H53" s="58"/>
      <c r="I53" s="23"/>
      <c r="J53" s="34"/>
      <c r="K53" s="23"/>
      <c r="L53" s="23"/>
      <c r="M53" s="34"/>
      <c r="N53" s="58"/>
      <c r="O53" s="23"/>
      <c r="P53" s="34"/>
      <c r="Q53" s="58"/>
      <c r="R53" s="23"/>
      <c r="S53" s="34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3">
        <v>18</v>
      </c>
      <c r="B54" s="9"/>
      <c r="C54" s="10" t="s">
        <v>54</v>
      </c>
      <c r="D54" s="13"/>
      <c r="E54" s="9">
        <v>121</v>
      </c>
      <c r="F54" s="13"/>
      <c r="G54" s="77" t="s">
        <v>21</v>
      </c>
      <c r="H54" s="58"/>
      <c r="I54" s="23"/>
      <c r="J54" s="34"/>
      <c r="K54" s="23"/>
      <c r="L54" s="23"/>
      <c r="M54" s="34"/>
      <c r="N54" s="58"/>
      <c r="O54" s="23"/>
      <c r="P54" s="34"/>
      <c r="Q54" s="58"/>
      <c r="R54" s="23"/>
      <c r="S54" s="34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3">
        <v>19</v>
      </c>
      <c r="B55" s="9"/>
      <c r="C55" s="10" t="s">
        <v>55</v>
      </c>
      <c r="D55" s="13"/>
      <c r="E55" s="9">
        <v>125</v>
      </c>
      <c r="F55" s="10" t="s">
        <v>56</v>
      </c>
      <c r="G55" s="77" t="s">
        <v>21</v>
      </c>
      <c r="H55" s="58"/>
      <c r="I55" s="23"/>
      <c r="J55" s="34"/>
      <c r="K55" s="23"/>
      <c r="L55" s="23"/>
      <c r="M55" s="34"/>
      <c r="N55" s="58"/>
      <c r="O55" s="23"/>
      <c r="P55" s="34"/>
      <c r="Q55" s="58"/>
      <c r="R55" s="23"/>
      <c r="S55" s="34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3">
        <v>20</v>
      </c>
      <c r="B56" s="6" t="s">
        <v>57</v>
      </c>
      <c r="C56" s="11" t="s">
        <v>58</v>
      </c>
      <c r="D56" s="14"/>
      <c r="E56" s="7"/>
      <c r="F56" s="21" t="s">
        <v>59</v>
      </c>
      <c r="G56" s="81" t="s">
        <v>21</v>
      </c>
      <c r="H56" s="24">
        <f>H58*0.75+H60*0.25</f>
        <v>316.25</v>
      </c>
      <c r="I56" s="24">
        <f>I58*0.75+I60*0.25</f>
        <v>334.45518749999997</v>
      </c>
      <c r="J56" s="29"/>
      <c r="K56" s="24">
        <f>K58*0.75+K60*0.25</f>
        <v>304</v>
      </c>
      <c r="L56" s="24">
        <f>L58*0.75+L60*0.25</f>
        <v>321.89709999999997</v>
      </c>
      <c r="M56" s="29"/>
      <c r="N56" s="24">
        <f>N58*0.75+N60*0.25</f>
        <v>306.25</v>
      </c>
      <c r="O56" s="24">
        <f>O58*0.75+O60*0.25</f>
        <v>324.2036875</v>
      </c>
      <c r="P56" s="29"/>
      <c r="Q56" s="24">
        <f>Q58*0.75+Q60*0.25</f>
        <v>376.75</v>
      </c>
      <c r="R56" s="24">
        <f>R58*0.75+R60*0.25</f>
        <v>396.47676249999995</v>
      </c>
      <c r="S56" s="29"/>
      <c r="T56" s="99">
        <f t="shared" si="2"/>
        <v>347.19444444444446</v>
      </c>
      <c r="U56" s="99">
        <f t="shared" si="3"/>
        <v>366.1778847222222</v>
      </c>
    </row>
    <row r="57" spans="1:21" ht="14.25" customHeight="1">
      <c r="A57" s="73">
        <v>21</v>
      </c>
      <c r="B57" s="9"/>
      <c r="C57" s="13" t="s">
        <v>60</v>
      </c>
      <c r="D57" s="13"/>
      <c r="E57" s="9">
        <v>832</v>
      </c>
      <c r="F57" s="10" t="s">
        <v>61</v>
      </c>
      <c r="G57" s="77" t="s">
        <v>21</v>
      </c>
      <c r="H57" s="87">
        <v>320</v>
      </c>
      <c r="I57" s="87">
        <f>(H57+10)*1.015*1.01</f>
        <v>338.29949999999997</v>
      </c>
      <c r="J57" s="91" t="s">
        <v>99</v>
      </c>
      <c r="K57" s="96">
        <v>301</v>
      </c>
      <c r="L57" s="96">
        <f>(K57+10)*1.015*1.01</f>
        <v>318.82165</v>
      </c>
      <c r="M57" s="98" t="s">
        <v>278</v>
      </c>
      <c r="N57" s="96">
        <v>315</v>
      </c>
      <c r="O57" s="96">
        <f>(N57+10)*1.015*1.01</f>
        <v>333.1737499999999</v>
      </c>
      <c r="P57" s="98" t="s">
        <v>279</v>
      </c>
      <c r="Q57" s="96">
        <v>373</v>
      </c>
      <c r="R57" s="96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3">
        <v>22</v>
      </c>
      <c r="B58" s="9"/>
      <c r="C58" s="13" t="s">
        <v>60</v>
      </c>
      <c r="D58" s="13"/>
      <c r="E58" s="9"/>
      <c r="F58" s="10" t="s">
        <v>62</v>
      </c>
      <c r="G58" s="77" t="s">
        <v>21</v>
      </c>
      <c r="H58" s="87">
        <v>300</v>
      </c>
      <c r="I58" s="87">
        <f>(H58+10)*1.015*1.01</f>
        <v>317.7965</v>
      </c>
      <c r="J58" s="91" t="s">
        <v>99</v>
      </c>
      <c r="K58" s="96">
        <v>292</v>
      </c>
      <c r="L58" s="96">
        <f>(K58+10)*1.015*1.01</f>
        <v>309.59529999999995</v>
      </c>
      <c r="M58" s="98" t="s">
        <v>278</v>
      </c>
      <c r="N58" s="96">
        <v>295</v>
      </c>
      <c r="O58" s="96">
        <f>(N58+10)*1.015*1.01</f>
        <v>312.67075</v>
      </c>
      <c r="P58" s="98" t="s">
        <v>279</v>
      </c>
      <c r="Q58" s="96">
        <v>368</v>
      </c>
      <c r="R58" s="96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3">
        <v>23</v>
      </c>
      <c r="B59" s="9"/>
      <c r="C59" s="13" t="s">
        <v>63</v>
      </c>
      <c r="D59" s="13"/>
      <c r="E59" s="9">
        <v>833</v>
      </c>
      <c r="F59" s="10" t="s">
        <v>61</v>
      </c>
      <c r="G59" s="77" t="s">
        <v>21</v>
      </c>
      <c r="H59" s="87">
        <v>385</v>
      </c>
      <c r="I59" s="87">
        <f>(H59+10)*1.015*1.01</f>
        <v>404.93424999999996</v>
      </c>
      <c r="J59" s="91" t="s">
        <v>99</v>
      </c>
      <c r="K59" s="96">
        <v>350</v>
      </c>
      <c r="L59" s="96">
        <f>(K59+10)*1.015*1.01</f>
        <v>369.054</v>
      </c>
      <c r="M59" s="98" t="s">
        <v>278</v>
      </c>
      <c r="N59" s="96">
        <v>360</v>
      </c>
      <c r="O59" s="96">
        <f>(N59+10)*1.015*1.01</f>
        <v>379.30549999999994</v>
      </c>
      <c r="P59" s="98" t="s">
        <v>279</v>
      </c>
      <c r="Q59" s="96">
        <v>409</v>
      </c>
      <c r="R59" s="96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3">
        <v>24</v>
      </c>
      <c r="B60" s="9"/>
      <c r="C60" s="13" t="s">
        <v>63</v>
      </c>
      <c r="D60" s="13"/>
      <c r="E60" s="9"/>
      <c r="F60" s="10" t="s">
        <v>62</v>
      </c>
      <c r="G60" s="77" t="s">
        <v>21</v>
      </c>
      <c r="H60" s="87">
        <v>365</v>
      </c>
      <c r="I60" s="87">
        <f>(H60+10)*1.015*1.01</f>
        <v>384.4312499999999</v>
      </c>
      <c r="J60" s="91" t="s">
        <v>99</v>
      </c>
      <c r="K60" s="96">
        <v>340</v>
      </c>
      <c r="L60" s="96">
        <f>(K60+10)*1.015*1.01</f>
        <v>358.80249999999995</v>
      </c>
      <c r="M60" s="98" t="s">
        <v>278</v>
      </c>
      <c r="N60" s="96">
        <v>340</v>
      </c>
      <c r="O60" s="96">
        <f>(N60+10)*1.015*1.01</f>
        <v>358.80249999999995</v>
      </c>
      <c r="P60" s="98" t="s">
        <v>279</v>
      </c>
      <c r="Q60" s="96">
        <v>403</v>
      </c>
      <c r="R60" s="96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77">
        <v>25</v>
      </c>
      <c r="B61" s="6" t="s">
        <v>64</v>
      </c>
      <c r="C61" s="15" t="s">
        <v>65</v>
      </c>
      <c r="D61" s="16"/>
      <c r="E61" s="26"/>
      <c r="F61" s="27" t="s">
        <v>66</v>
      </c>
      <c r="G61" s="26" t="s">
        <v>67</v>
      </c>
      <c r="H61" s="84"/>
      <c r="I61" s="92">
        <v>6.3</v>
      </c>
      <c r="J61" s="93" t="s">
        <v>165</v>
      </c>
      <c r="K61" s="84"/>
      <c r="L61" s="92">
        <v>6.3</v>
      </c>
      <c r="M61" s="93" t="s">
        <v>165</v>
      </c>
      <c r="N61" s="84"/>
      <c r="O61" s="92">
        <v>6.3</v>
      </c>
      <c r="P61" s="93" t="s">
        <v>165</v>
      </c>
      <c r="Q61" s="84"/>
      <c r="R61" s="92">
        <v>6.3</v>
      </c>
      <c r="S61" s="93" t="s">
        <v>165</v>
      </c>
      <c r="T61" s="100"/>
      <c r="U61" s="92">
        <v>6.3</v>
      </c>
    </row>
    <row r="62" spans="1:21" ht="14.25" customHeight="1" hidden="1">
      <c r="A62" s="77">
        <v>26</v>
      </c>
      <c r="B62" s="6"/>
      <c r="C62" s="15" t="s">
        <v>65</v>
      </c>
      <c r="D62" s="16"/>
      <c r="E62" s="26">
        <v>862</v>
      </c>
      <c r="F62" s="27" t="s">
        <v>68</v>
      </c>
      <c r="G62" s="26" t="s">
        <v>67</v>
      </c>
      <c r="H62" s="84"/>
      <c r="I62" s="94">
        <v>6.75</v>
      </c>
      <c r="J62" s="93" t="s">
        <v>165</v>
      </c>
      <c r="K62" s="84"/>
      <c r="L62" s="94">
        <v>6.75</v>
      </c>
      <c r="M62" s="93" t="s">
        <v>165</v>
      </c>
      <c r="N62" s="84"/>
      <c r="O62" s="94">
        <v>6.75</v>
      </c>
      <c r="P62" s="93" t="s">
        <v>165</v>
      </c>
      <c r="Q62" s="84"/>
      <c r="R62" s="94">
        <v>6.75</v>
      </c>
      <c r="S62" s="93" t="s">
        <v>165</v>
      </c>
      <c r="T62" s="100"/>
      <c r="U62" s="94">
        <v>6.75</v>
      </c>
    </row>
    <row r="63" spans="1:21" ht="14.25" customHeight="1" hidden="1">
      <c r="A63" s="77">
        <v>27</v>
      </c>
      <c r="B63" s="17"/>
      <c r="C63" s="10" t="s">
        <v>69</v>
      </c>
      <c r="D63" s="18"/>
      <c r="E63" s="26">
        <v>863</v>
      </c>
      <c r="F63" s="27" t="s">
        <v>70</v>
      </c>
      <c r="G63" s="85" t="s">
        <v>67</v>
      </c>
      <c r="H63" s="28"/>
      <c r="I63" s="26">
        <v>5.67</v>
      </c>
      <c r="J63" s="95" t="s">
        <v>165</v>
      </c>
      <c r="K63" s="28"/>
      <c r="L63" s="26">
        <v>5.67</v>
      </c>
      <c r="M63" s="95" t="s">
        <v>165</v>
      </c>
      <c r="N63" s="28"/>
      <c r="O63" s="26">
        <v>5.67</v>
      </c>
      <c r="P63" s="95" t="s">
        <v>165</v>
      </c>
      <c r="Q63" s="28"/>
      <c r="R63" s="26">
        <v>5.67</v>
      </c>
      <c r="S63" s="95" t="s">
        <v>165</v>
      </c>
      <c r="T63" s="100"/>
      <c r="U63" s="26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7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8"/>
      <c r="B3" s="69"/>
      <c r="C3" s="69"/>
      <c r="D3" s="69"/>
      <c r="E3" s="69"/>
      <c r="F3" s="69"/>
      <c r="G3" s="69"/>
      <c r="H3" s="69"/>
      <c r="I3" s="69"/>
      <c r="J3" s="88"/>
      <c r="K3" s="88"/>
      <c r="L3" s="88"/>
      <c r="M3" s="88"/>
      <c r="N3" s="88"/>
      <c r="O3" s="97"/>
      <c r="P3" s="97"/>
    </row>
    <row r="4" spans="1:24" ht="14.25" customHeight="1">
      <c r="A4" s="70" t="s">
        <v>2</v>
      </c>
      <c r="B4" s="46" t="s">
        <v>3</v>
      </c>
      <c r="C4" s="71" t="s">
        <v>4</v>
      </c>
      <c r="D4" s="72"/>
      <c r="E4" s="70" t="s">
        <v>5</v>
      </c>
      <c r="F4" s="46" t="s">
        <v>6</v>
      </c>
      <c r="G4" s="70" t="s">
        <v>7</v>
      </c>
      <c r="H4" s="79" t="s">
        <v>267</v>
      </c>
      <c r="I4" s="89"/>
      <c r="J4" s="90"/>
      <c r="K4" s="79" t="s">
        <v>268</v>
      </c>
      <c r="L4" s="89"/>
      <c r="M4" s="90"/>
      <c r="N4" s="79" t="s">
        <v>269</v>
      </c>
      <c r="O4" s="89"/>
      <c r="P4" s="90"/>
      <c r="Q4" s="79" t="s">
        <v>270</v>
      </c>
      <c r="R4" s="89"/>
      <c r="S4" s="90"/>
      <c r="T4" s="86" t="s">
        <v>271</v>
      </c>
      <c r="U4" s="89"/>
      <c r="V4" s="90"/>
      <c r="W4" s="43" t="s">
        <v>80</v>
      </c>
      <c r="X4" s="101"/>
    </row>
    <row r="5" spans="1:26" ht="18" customHeight="1">
      <c r="A5" s="73"/>
      <c r="B5" s="53"/>
      <c r="C5" s="74"/>
      <c r="D5" s="75"/>
      <c r="E5" s="73"/>
      <c r="F5" s="53"/>
      <c r="G5" s="73"/>
      <c r="H5" s="80" t="s">
        <v>14</v>
      </c>
      <c r="I5" s="80" t="s">
        <v>15</v>
      </c>
      <c r="J5" s="80" t="s">
        <v>106</v>
      </c>
      <c r="K5" s="80" t="s">
        <v>14</v>
      </c>
      <c r="L5" s="80" t="s">
        <v>15</v>
      </c>
      <c r="M5" s="80" t="s">
        <v>106</v>
      </c>
      <c r="N5" s="80" t="s">
        <v>14</v>
      </c>
      <c r="O5" s="80" t="s">
        <v>15</v>
      </c>
      <c r="P5" s="80" t="s">
        <v>106</v>
      </c>
      <c r="Q5" s="80" t="s">
        <v>14</v>
      </c>
      <c r="R5" s="80" t="s">
        <v>15</v>
      </c>
      <c r="S5" s="80" t="s">
        <v>106</v>
      </c>
      <c r="T5" s="80" t="s">
        <v>14</v>
      </c>
      <c r="U5" s="80" t="s">
        <v>15</v>
      </c>
      <c r="V5" s="80" t="s">
        <v>106</v>
      </c>
      <c r="W5" s="43"/>
      <c r="X5" s="43"/>
      <c r="Y5" s="6" t="s">
        <v>15</v>
      </c>
      <c r="Z5" s="6" t="s">
        <v>106</v>
      </c>
    </row>
    <row r="6" spans="1:26" s="61" customFormat="1" ht="23.25" customHeight="1">
      <c r="A6" s="73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81" t="s">
        <v>21</v>
      </c>
      <c r="H6" s="82" t="e">
        <f>H7*0.8+H8*0.2</f>
        <v>#REF!</v>
      </c>
      <c r="I6" s="82" t="e">
        <f>I7*0.8+I8*0.2</f>
        <v>#REF!</v>
      </c>
      <c r="J6" s="29"/>
      <c r="K6" s="55"/>
      <c r="L6" s="30"/>
      <c r="M6" s="29"/>
      <c r="N6" s="55"/>
      <c r="O6" s="30"/>
      <c r="P6" s="29"/>
      <c r="Q6" s="30"/>
      <c r="R6" s="30"/>
      <c r="S6" s="29"/>
      <c r="T6" s="55"/>
      <c r="U6" s="30"/>
      <c r="V6" s="29"/>
      <c r="W6" s="44">
        <v>17</v>
      </c>
      <c r="X6" s="44"/>
      <c r="Y6" s="22">
        <f>Y7*0.8+Y8*0.2</f>
        <v>4006</v>
      </c>
      <c r="Z6" s="29"/>
    </row>
    <row r="7" spans="1:26" ht="28.5" customHeight="1">
      <c r="A7" s="73">
        <v>2</v>
      </c>
      <c r="B7" s="9"/>
      <c r="C7" s="9"/>
      <c r="D7" s="10" t="s">
        <v>22</v>
      </c>
      <c r="E7" s="9"/>
      <c r="F7" s="10" t="s">
        <v>23</v>
      </c>
      <c r="G7" s="77" t="s">
        <v>21</v>
      </c>
      <c r="H7" s="23" t="e">
        <f>#REF!+200</f>
        <v>#REF!</v>
      </c>
      <c r="I7" s="23" t="e">
        <f aca="true" t="shared" si="0" ref="I7:I13">(H7+27)*1.015</f>
        <v>#REF!</v>
      </c>
      <c r="J7" s="31"/>
      <c r="K7" s="58"/>
      <c r="L7" s="23"/>
      <c r="M7" s="29"/>
      <c r="N7" s="58"/>
      <c r="O7" s="23"/>
      <c r="P7" s="34"/>
      <c r="Q7" s="23"/>
      <c r="R7" s="23"/>
      <c r="S7" s="34"/>
      <c r="T7" s="58"/>
      <c r="U7" s="23"/>
      <c r="V7" s="34"/>
      <c r="W7" s="45">
        <v>17</v>
      </c>
      <c r="X7" s="45"/>
      <c r="Y7" s="23">
        <v>4040</v>
      </c>
      <c r="Z7" s="102" t="s">
        <v>208</v>
      </c>
    </row>
    <row r="8" spans="1:26" ht="14.25" customHeight="1">
      <c r="A8" s="73">
        <v>3</v>
      </c>
      <c r="B8" s="9"/>
      <c r="C8" s="9"/>
      <c r="D8" s="10" t="s">
        <v>24</v>
      </c>
      <c r="E8" s="9"/>
      <c r="F8" s="10" t="s">
        <v>25</v>
      </c>
      <c r="G8" s="77" t="s">
        <v>21</v>
      </c>
      <c r="H8" s="23" t="e">
        <f>#REF!+200</f>
        <v>#REF!</v>
      </c>
      <c r="I8" s="23" t="e">
        <f t="shared" si="0"/>
        <v>#REF!</v>
      </c>
      <c r="J8" s="32" t="s">
        <v>89</v>
      </c>
      <c r="K8" s="58"/>
      <c r="L8" s="23"/>
      <c r="M8" s="29"/>
      <c r="N8" s="58"/>
      <c r="O8" s="23"/>
      <c r="P8" s="34"/>
      <c r="Q8" s="23"/>
      <c r="R8" s="23"/>
      <c r="S8" s="34"/>
      <c r="T8" s="58"/>
      <c r="U8" s="23"/>
      <c r="V8" s="34"/>
      <c r="W8" s="45">
        <v>17</v>
      </c>
      <c r="X8" s="45"/>
      <c r="Y8" s="23">
        <v>3870</v>
      </c>
      <c r="Z8" s="102" t="s">
        <v>89</v>
      </c>
    </row>
    <row r="9" spans="1:26" s="61" customFormat="1" ht="33" customHeight="1">
      <c r="A9" s="73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81" t="s">
        <v>21</v>
      </c>
      <c r="H9" s="82" t="e">
        <f>H10*0.03+H11*0.38+H12*0.27+H13*0.32</f>
        <v>#REF!</v>
      </c>
      <c r="I9" s="82" t="e">
        <f>I10*0.03+I11*0.38+I12*0.27+I13*0.32</f>
        <v>#REF!</v>
      </c>
      <c r="J9" s="33"/>
      <c r="K9" s="58"/>
      <c r="L9" s="30"/>
      <c r="M9" s="29"/>
      <c r="N9" s="55"/>
      <c r="O9" s="30"/>
      <c r="P9" s="29"/>
      <c r="Q9" s="30"/>
      <c r="R9" s="30"/>
      <c r="S9" s="29"/>
      <c r="T9" s="55"/>
      <c r="U9" s="30"/>
      <c r="V9" s="29"/>
      <c r="W9" s="44">
        <v>17</v>
      </c>
      <c r="X9" s="44"/>
      <c r="Y9" s="22">
        <f>Y10*0.03+Y11*0.38+Y12*0.27+Y13*0.32</f>
        <v>3655.8</v>
      </c>
      <c r="Z9" s="29"/>
    </row>
    <row r="10" spans="1:26" ht="14.25" customHeight="1">
      <c r="A10" s="73">
        <v>5</v>
      </c>
      <c r="B10" s="9"/>
      <c r="C10" s="9"/>
      <c r="D10" s="12" t="s">
        <v>29</v>
      </c>
      <c r="E10" s="9"/>
      <c r="F10" s="10" t="s">
        <v>30</v>
      </c>
      <c r="G10" s="77" t="s">
        <v>21</v>
      </c>
      <c r="H10" s="23" t="e">
        <f>#REF!+230</f>
        <v>#REF!</v>
      </c>
      <c r="I10" s="23" t="e">
        <f t="shared" si="0"/>
        <v>#REF!</v>
      </c>
      <c r="J10" s="32" t="s">
        <v>90</v>
      </c>
      <c r="K10" s="58"/>
      <c r="L10" s="23"/>
      <c r="M10" s="29"/>
      <c r="N10" s="58"/>
      <c r="O10" s="23"/>
      <c r="P10" s="34"/>
      <c r="Q10" s="23"/>
      <c r="R10" s="23"/>
      <c r="S10" s="34"/>
      <c r="T10" s="58"/>
      <c r="U10" s="23"/>
      <c r="V10" s="34"/>
      <c r="W10" s="45">
        <v>17</v>
      </c>
      <c r="X10" s="45"/>
      <c r="Y10" s="23">
        <v>3830</v>
      </c>
      <c r="Z10" s="102" t="s">
        <v>90</v>
      </c>
    </row>
    <row r="11" spans="1:26" ht="14.25" customHeight="1">
      <c r="A11" s="73">
        <v>6</v>
      </c>
      <c r="B11" s="9"/>
      <c r="C11" s="9"/>
      <c r="D11" s="12" t="s">
        <v>29</v>
      </c>
      <c r="E11" s="9"/>
      <c r="F11" s="10" t="s">
        <v>31</v>
      </c>
      <c r="G11" s="77" t="s">
        <v>21</v>
      </c>
      <c r="H11" s="23" t="e">
        <f>#REF!+230</f>
        <v>#REF!</v>
      </c>
      <c r="I11" s="23" t="e">
        <f t="shared" si="0"/>
        <v>#REF!</v>
      </c>
      <c r="J11" s="32" t="s">
        <v>90</v>
      </c>
      <c r="K11" s="58"/>
      <c r="L11" s="23"/>
      <c r="M11" s="29"/>
      <c r="N11" s="58"/>
      <c r="O11" s="23"/>
      <c r="P11" s="34"/>
      <c r="Q11" s="23"/>
      <c r="R11" s="23"/>
      <c r="S11" s="34"/>
      <c r="T11" s="58"/>
      <c r="U11" s="23"/>
      <c r="V11" s="34"/>
      <c r="W11" s="45">
        <v>17</v>
      </c>
      <c r="X11" s="45"/>
      <c r="Y11" s="23">
        <v>3640</v>
      </c>
      <c r="Z11" s="102" t="s">
        <v>89</v>
      </c>
    </row>
    <row r="12" spans="1:26" ht="14.25" customHeight="1">
      <c r="A12" s="73">
        <v>7</v>
      </c>
      <c r="B12" s="9"/>
      <c r="C12" s="9"/>
      <c r="D12" s="12" t="s">
        <v>29</v>
      </c>
      <c r="E12" s="9"/>
      <c r="F12" s="10" t="s">
        <v>32</v>
      </c>
      <c r="G12" s="77" t="s">
        <v>21</v>
      </c>
      <c r="H12" s="23" t="e">
        <f>#REF!+230</f>
        <v>#REF!</v>
      </c>
      <c r="I12" s="23" t="e">
        <f t="shared" si="0"/>
        <v>#REF!</v>
      </c>
      <c r="J12" s="32" t="s">
        <v>90</v>
      </c>
      <c r="K12" s="58"/>
      <c r="L12" s="23"/>
      <c r="M12" s="29"/>
      <c r="N12" s="58"/>
      <c r="O12" s="23"/>
      <c r="P12" s="34"/>
      <c r="Q12" s="23"/>
      <c r="R12" s="23"/>
      <c r="S12" s="34"/>
      <c r="T12" s="58"/>
      <c r="U12" s="23"/>
      <c r="V12" s="34"/>
      <c r="W12" s="45">
        <v>17</v>
      </c>
      <c r="X12" s="45"/>
      <c r="Y12" s="23">
        <v>3630</v>
      </c>
      <c r="Z12" s="102" t="s">
        <v>90</v>
      </c>
    </row>
    <row r="13" spans="1:26" ht="14.25" customHeight="1">
      <c r="A13" s="73">
        <v>8</v>
      </c>
      <c r="B13" s="9"/>
      <c r="C13" s="9"/>
      <c r="D13" s="12" t="s">
        <v>29</v>
      </c>
      <c r="E13" s="9"/>
      <c r="F13" s="10" t="s">
        <v>33</v>
      </c>
      <c r="G13" s="77" t="s">
        <v>21</v>
      </c>
      <c r="H13" s="23" t="e">
        <f>#REF!+230</f>
        <v>#REF!</v>
      </c>
      <c r="I13" s="23" t="e">
        <f t="shared" si="0"/>
        <v>#REF!</v>
      </c>
      <c r="J13" s="32" t="s">
        <v>90</v>
      </c>
      <c r="K13" s="58"/>
      <c r="L13" s="23"/>
      <c r="M13" s="29"/>
      <c r="N13" s="58"/>
      <c r="O13" s="23"/>
      <c r="P13" s="34"/>
      <c r="Q13" s="23"/>
      <c r="R13" s="23"/>
      <c r="S13" s="34"/>
      <c r="T13" s="58"/>
      <c r="U13" s="23"/>
      <c r="V13" s="34"/>
      <c r="W13" s="45">
        <v>17</v>
      </c>
      <c r="X13" s="45"/>
      <c r="Y13" s="23">
        <v>3680</v>
      </c>
      <c r="Z13" s="102" t="s">
        <v>90</v>
      </c>
    </row>
    <row r="14" spans="1:26" s="61" customFormat="1" ht="24.75" customHeight="1">
      <c r="A14" s="73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81" t="s">
        <v>21</v>
      </c>
      <c r="H14" s="83" t="e">
        <f>H15*0.27+H16*0.67+H17*0.06</f>
        <v>#REF!</v>
      </c>
      <c r="I14" s="83" t="e">
        <f>I15*0.27+I16*0.67+I17*0.06</f>
        <v>#REF!</v>
      </c>
      <c r="J14" s="33"/>
      <c r="K14" s="58"/>
      <c r="L14" s="23"/>
      <c r="M14" s="29"/>
      <c r="N14" s="23"/>
      <c r="O14" s="23"/>
      <c r="P14" s="23"/>
      <c r="Q14" s="23"/>
      <c r="R14" s="23"/>
      <c r="S14" s="23"/>
      <c r="T14" s="23"/>
      <c r="U14" s="23"/>
      <c r="V14" s="23"/>
      <c r="W14" s="45">
        <v>17</v>
      </c>
      <c r="X14" s="45"/>
      <c r="Y14" s="24">
        <f>Y15*0.27+Y16*0.67+Y17*0.06</f>
        <v>4027.3</v>
      </c>
      <c r="Z14" s="103"/>
    </row>
    <row r="15" spans="1:26" ht="14.25" customHeight="1">
      <c r="A15" s="73">
        <v>10</v>
      </c>
      <c r="B15" s="9"/>
      <c r="C15" s="9"/>
      <c r="D15" s="10" t="s">
        <v>37</v>
      </c>
      <c r="E15" s="9"/>
      <c r="F15" s="13" t="s">
        <v>38</v>
      </c>
      <c r="G15" s="77" t="s">
        <v>21</v>
      </c>
      <c r="H15" s="23" t="e">
        <f>#REF!+185</f>
        <v>#REF!</v>
      </c>
      <c r="I15" s="23" t="e">
        <f>(H15+27)*1.015</f>
        <v>#REF!</v>
      </c>
      <c r="J15" s="32" t="s">
        <v>91</v>
      </c>
      <c r="K15" s="58"/>
      <c r="L15" s="23"/>
      <c r="M15" s="29"/>
      <c r="N15" s="58"/>
      <c r="O15" s="23"/>
      <c r="P15" s="34"/>
      <c r="Q15" s="23"/>
      <c r="R15" s="23"/>
      <c r="S15" s="34"/>
      <c r="T15" s="58"/>
      <c r="U15" s="23"/>
      <c r="V15" s="34"/>
      <c r="W15" s="45">
        <v>17</v>
      </c>
      <c r="X15" s="45"/>
      <c r="Y15" s="23">
        <v>3800</v>
      </c>
      <c r="Z15" s="102" t="s">
        <v>91</v>
      </c>
    </row>
    <row r="16" spans="1:26" ht="14.25" customHeight="1">
      <c r="A16" s="73">
        <v>11</v>
      </c>
      <c r="B16" s="9"/>
      <c r="C16" s="9"/>
      <c r="D16" s="10" t="s">
        <v>39</v>
      </c>
      <c r="E16" s="9"/>
      <c r="F16" s="13" t="s">
        <v>40</v>
      </c>
      <c r="G16" s="77" t="s">
        <v>21</v>
      </c>
      <c r="H16" s="23" t="e">
        <f>#REF!+185</f>
        <v>#REF!</v>
      </c>
      <c r="I16" s="23" t="e">
        <f>(H16+27)*1.015</f>
        <v>#REF!</v>
      </c>
      <c r="J16" s="32" t="s">
        <v>92</v>
      </c>
      <c r="K16" s="58"/>
      <c r="L16" s="23"/>
      <c r="M16" s="29"/>
      <c r="N16" s="58"/>
      <c r="O16" s="23"/>
      <c r="P16" s="34"/>
      <c r="Q16" s="23"/>
      <c r="R16" s="23"/>
      <c r="S16" s="34"/>
      <c r="T16" s="58"/>
      <c r="U16" s="23"/>
      <c r="V16" s="34"/>
      <c r="W16" s="45">
        <v>17</v>
      </c>
      <c r="X16" s="45"/>
      <c r="Y16" s="23">
        <v>4150</v>
      </c>
      <c r="Z16" s="102" t="s">
        <v>92</v>
      </c>
    </row>
    <row r="17" spans="1:26" ht="14.25" customHeight="1">
      <c r="A17" s="73">
        <v>12</v>
      </c>
      <c r="B17" s="9"/>
      <c r="C17" s="9"/>
      <c r="D17" s="10" t="s">
        <v>41</v>
      </c>
      <c r="E17" s="9"/>
      <c r="F17" s="13" t="s">
        <v>42</v>
      </c>
      <c r="G17" s="77" t="s">
        <v>21</v>
      </c>
      <c r="H17" s="23" t="e">
        <f>#REF!+185</f>
        <v>#REF!</v>
      </c>
      <c r="I17" s="23" t="e">
        <f>(H17+27)*1.015</f>
        <v>#REF!</v>
      </c>
      <c r="J17" s="32" t="s">
        <v>91</v>
      </c>
      <c r="K17" s="58"/>
      <c r="L17" s="23"/>
      <c r="M17" s="29"/>
      <c r="N17" s="58"/>
      <c r="O17" s="23"/>
      <c r="P17" s="34"/>
      <c r="Q17" s="23"/>
      <c r="R17" s="23"/>
      <c r="S17" s="34"/>
      <c r="T17" s="58"/>
      <c r="U17" s="23"/>
      <c r="V17" s="34"/>
      <c r="W17" s="45">
        <v>17</v>
      </c>
      <c r="X17" s="45"/>
      <c r="Y17" s="23">
        <v>3680</v>
      </c>
      <c r="Z17" s="102" t="s">
        <v>272</v>
      </c>
    </row>
    <row r="18" spans="1:26" ht="14.25" customHeight="1">
      <c r="A18" s="73">
        <v>13</v>
      </c>
      <c r="B18" s="9"/>
      <c r="C18" s="6" t="s">
        <v>43</v>
      </c>
      <c r="D18" s="9"/>
      <c r="E18" s="9">
        <v>183</v>
      </c>
      <c r="F18" s="13" t="s">
        <v>44</v>
      </c>
      <c r="G18" s="77" t="s">
        <v>21</v>
      </c>
      <c r="H18" s="23" t="e">
        <f>#REF!+185</f>
        <v>#REF!</v>
      </c>
      <c r="I18" s="23" t="e">
        <f aca="true" t="shared" si="1" ref="I18:I24">(H18+27)*1.015</f>
        <v>#REF!</v>
      </c>
      <c r="J18" s="32" t="s">
        <v>91</v>
      </c>
      <c r="K18" s="58"/>
      <c r="L18" s="23"/>
      <c r="M18" s="29"/>
      <c r="N18" s="58"/>
      <c r="O18" s="23"/>
      <c r="P18" s="34"/>
      <c r="Q18" s="23"/>
      <c r="R18" s="23"/>
      <c r="S18" s="34"/>
      <c r="T18" s="58"/>
      <c r="U18" s="23"/>
      <c r="V18" s="34"/>
      <c r="W18" s="45">
        <v>17</v>
      </c>
      <c r="X18" s="45"/>
      <c r="Y18" s="24">
        <v>4980</v>
      </c>
      <c r="Z18" s="102" t="s">
        <v>107</v>
      </c>
    </row>
    <row r="19" spans="1:26" s="61" customFormat="1" ht="22.5" customHeight="1">
      <c r="A19" s="7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81" t="s">
        <v>21</v>
      </c>
      <c r="H19" s="83" t="e">
        <f>H20*0.6+H21*0.2+H22*0.2</f>
        <v>#REF!</v>
      </c>
      <c r="I19" s="83" t="e">
        <f>I20*0.6+I21*0.2+I22*0.2</f>
        <v>#REF!</v>
      </c>
      <c r="J19" s="33"/>
      <c r="K19" s="58"/>
      <c r="L19" s="24"/>
      <c r="M19" s="29"/>
      <c r="N19" s="55"/>
      <c r="O19" s="24"/>
      <c r="P19" s="29"/>
      <c r="Q19" s="24"/>
      <c r="R19" s="24"/>
      <c r="S19" s="24"/>
      <c r="T19" s="24"/>
      <c r="U19" s="24"/>
      <c r="V19" s="29"/>
      <c r="W19" s="45">
        <v>17</v>
      </c>
      <c r="X19" s="45"/>
      <c r="Y19" s="24">
        <f>Y20*0.6+Y21*0.2+Y22*0.2</f>
        <v>4642</v>
      </c>
      <c r="Z19" s="24"/>
    </row>
    <row r="20" spans="1:26" ht="14.25" customHeight="1">
      <c r="A20" s="73">
        <v>15</v>
      </c>
      <c r="B20" s="9"/>
      <c r="C20" s="9"/>
      <c r="D20" s="10" t="s">
        <v>48</v>
      </c>
      <c r="E20" s="25"/>
      <c r="F20" s="10" t="s">
        <v>49</v>
      </c>
      <c r="G20" s="77" t="s">
        <v>21</v>
      </c>
      <c r="H20" s="23" t="e">
        <f>#REF!+185</f>
        <v>#REF!</v>
      </c>
      <c r="I20" s="23" t="e">
        <f t="shared" si="1"/>
        <v>#REF!</v>
      </c>
      <c r="J20" s="32" t="s">
        <v>161</v>
      </c>
      <c r="K20" s="58"/>
      <c r="L20" s="23"/>
      <c r="M20" s="29"/>
      <c r="N20" s="58"/>
      <c r="O20" s="23"/>
      <c r="P20" s="34"/>
      <c r="Q20" s="23"/>
      <c r="R20" s="23"/>
      <c r="S20" s="34"/>
      <c r="T20" s="58"/>
      <c r="U20" s="23"/>
      <c r="V20" s="34"/>
      <c r="W20" s="45">
        <v>17</v>
      </c>
      <c r="X20" s="45"/>
      <c r="Y20" s="23">
        <v>3970</v>
      </c>
      <c r="Z20" s="102" t="s">
        <v>195</v>
      </c>
    </row>
    <row r="21" spans="1:26" ht="14.25" customHeight="1">
      <c r="A21" s="73">
        <v>16</v>
      </c>
      <c r="B21" s="9"/>
      <c r="C21" s="9"/>
      <c r="D21" s="10" t="s">
        <v>50</v>
      </c>
      <c r="E21" s="25">
        <v>192</v>
      </c>
      <c r="F21" s="10" t="s">
        <v>51</v>
      </c>
      <c r="G21" s="77" t="s">
        <v>21</v>
      </c>
      <c r="H21" s="23" t="e">
        <f>#REF!+185</f>
        <v>#REF!</v>
      </c>
      <c r="I21" s="23" t="e">
        <f t="shared" si="1"/>
        <v>#REF!</v>
      </c>
      <c r="J21" s="32" t="s">
        <v>161</v>
      </c>
      <c r="K21" s="58"/>
      <c r="L21" s="34"/>
      <c r="M21" s="29"/>
      <c r="N21" s="58"/>
      <c r="O21" s="34"/>
      <c r="P21" s="34"/>
      <c r="Q21" s="34"/>
      <c r="R21" s="34"/>
      <c r="S21" s="34"/>
      <c r="T21" s="58"/>
      <c r="U21" s="34"/>
      <c r="V21" s="34"/>
      <c r="W21" s="45">
        <v>17</v>
      </c>
      <c r="X21" s="45"/>
      <c r="Y21" s="34">
        <v>6300</v>
      </c>
      <c r="Z21" s="102"/>
    </row>
    <row r="22" spans="1:26" ht="14.25" customHeight="1">
      <c r="A22" s="73">
        <v>17</v>
      </c>
      <c r="B22" s="9"/>
      <c r="C22" s="9"/>
      <c r="D22" s="10" t="s">
        <v>52</v>
      </c>
      <c r="E22" s="25">
        <v>191</v>
      </c>
      <c r="F22" s="10" t="s">
        <v>53</v>
      </c>
      <c r="G22" s="77" t="s">
        <v>21</v>
      </c>
      <c r="H22" s="23" t="e">
        <f>#REF!+185</f>
        <v>#REF!</v>
      </c>
      <c r="I22" s="23" t="e">
        <f t="shared" si="1"/>
        <v>#REF!</v>
      </c>
      <c r="J22" s="32" t="s">
        <v>108</v>
      </c>
      <c r="K22" s="58"/>
      <c r="L22" s="23"/>
      <c r="M22" s="29"/>
      <c r="N22" s="58"/>
      <c r="O22" s="23"/>
      <c r="P22" s="34"/>
      <c r="Q22" s="23"/>
      <c r="R22" s="23"/>
      <c r="S22" s="34"/>
      <c r="T22" s="58"/>
      <c r="U22" s="23"/>
      <c r="V22" s="34"/>
      <c r="W22" s="45">
        <v>17</v>
      </c>
      <c r="X22" s="45"/>
      <c r="Y22" s="23">
        <v>5000</v>
      </c>
      <c r="Z22" s="102" t="s">
        <v>94</v>
      </c>
    </row>
    <row r="23" spans="1:26" ht="14.25" customHeight="1">
      <c r="A23" s="73">
        <v>18</v>
      </c>
      <c r="B23" s="9"/>
      <c r="C23" s="10" t="s">
        <v>54</v>
      </c>
      <c r="D23" s="13"/>
      <c r="E23" s="9">
        <v>121</v>
      </c>
      <c r="F23" s="13"/>
      <c r="G23" s="77" t="s">
        <v>21</v>
      </c>
      <c r="H23" s="23" t="e">
        <f>#REF!+185</f>
        <v>#REF!</v>
      </c>
      <c r="I23" s="23" t="e">
        <f t="shared" si="1"/>
        <v>#REF!</v>
      </c>
      <c r="J23" s="32"/>
      <c r="K23" s="30"/>
      <c r="L23" s="23"/>
      <c r="M23" s="29"/>
      <c r="N23" s="30"/>
      <c r="O23" s="23"/>
      <c r="P23" s="34"/>
      <c r="Q23" s="23"/>
      <c r="R23" s="23"/>
      <c r="S23" s="34"/>
      <c r="T23" s="58"/>
      <c r="U23" s="23"/>
      <c r="V23" s="34"/>
      <c r="W23" s="45">
        <v>17</v>
      </c>
      <c r="X23" s="45"/>
      <c r="Y23" s="23"/>
      <c r="Z23" s="34"/>
    </row>
    <row r="24" spans="1:26" ht="14.25" customHeight="1">
      <c r="A24" s="73">
        <v>19</v>
      </c>
      <c r="B24" s="9"/>
      <c r="C24" s="10" t="s">
        <v>55</v>
      </c>
      <c r="D24" s="13"/>
      <c r="E24" s="9">
        <v>125</v>
      </c>
      <c r="F24" s="10" t="s">
        <v>56</v>
      </c>
      <c r="G24" s="77" t="s">
        <v>21</v>
      </c>
      <c r="H24" s="23" t="e">
        <f>#REF!+185</f>
        <v>#REF!</v>
      </c>
      <c r="I24" s="23" t="e">
        <f t="shared" si="1"/>
        <v>#REF!</v>
      </c>
      <c r="J24" s="35"/>
      <c r="K24" s="30"/>
      <c r="L24" s="23"/>
      <c r="M24" s="29"/>
      <c r="N24" s="30"/>
      <c r="O24" s="23"/>
      <c r="P24" s="34"/>
      <c r="Q24" s="23"/>
      <c r="R24" s="23"/>
      <c r="S24" s="34"/>
      <c r="T24" s="58"/>
      <c r="U24" s="23"/>
      <c r="V24" s="34"/>
      <c r="W24" s="45">
        <v>17</v>
      </c>
      <c r="X24" s="45"/>
      <c r="Y24" s="23">
        <v>5200</v>
      </c>
      <c r="Z24" s="102" t="s">
        <v>195</v>
      </c>
    </row>
    <row r="25" spans="1:26" s="61" customFormat="1" ht="22.5" customHeight="1">
      <c r="A25" s="74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81" t="s">
        <v>21</v>
      </c>
      <c r="H25" s="24">
        <f>H27*0.75+H29*0.25</f>
        <v>381.25</v>
      </c>
      <c r="I25" s="24">
        <f>I27*0.75+I29*0.25</f>
        <v>401.0899375</v>
      </c>
      <c r="J25" s="36"/>
      <c r="K25" s="24">
        <f>K27*0.75+K29*0.25</f>
        <v>357.5</v>
      </c>
      <c r="L25" s="24">
        <f>L27*0.75+L29*0.25</f>
        <v>376.742625</v>
      </c>
      <c r="M25" s="29"/>
      <c r="N25" s="24">
        <f>N27*0.75+N29*0.25</f>
        <v>337.5</v>
      </c>
      <c r="O25" s="24">
        <f>O27*0.75+O29*0.25</f>
        <v>356.23962499999993</v>
      </c>
      <c r="P25" s="29"/>
      <c r="Q25" s="24">
        <f>Q27*0.75+Q29*0.25</f>
        <v>350</v>
      </c>
      <c r="R25" s="24">
        <f>R27*0.75+R29*0.25</f>
        <v>369.054</v>
      </c>
      <c r="S25" s="29"/>
      <c r="T25" s="24">
        <f>T27*0.75+T29*0.25</f>
        <v>395.25</v>
      </c>
      <c r="U25" s="24">
        <f>U27*0.75+U29*0.25</f>
        <v>415.44203749999997</v>
      </c>
      <c r="V25" s="29"/>
      <c r="W25" s="45">
        <v>17</v>
      </c>
      <c r="X25" s="45"/>
      <c r="Y25" s="24">
        <f>Y27*0.75+Y29*0.25</f>
        <v>367.5</v>
      </c>
      <c r="Z25" s="29"/>
    </row>
    <row r="26" spans="1:26" ht="14.25" customHeight="1">
      <c r="A26" s="74">
        <v>21</v>
      </c>
      <c r="B26" s="9"/>
      <c r="C26" s="13" t="s">
        <v>60</v>
      </c>
      <c r="D26" s="13"/>
      <c r="E26" s="9">
        <v>832</v>
      </c>
      <c r="F26" s="10" t="s">
        <v>61</v>
      </c>
      <c r="G26" s="77" t="s">
        <v>21</v>
      </c>
      <c r="H26" s="23">
        <v>385</v>
      </c>
      <c r="I26" s="23">
        <f>(H26+10)*1.015*1.01</f>
        <v>404.93424999999996</v>
      </c>
      <c r="J26" s="91" t="s">
        <v>236</v>
      </c>
      <c r="K26" s="23">
        <v>360</v>
      </c>
      <c r="L26" s="23">
        <f>(K26+10)*1.015*1.01</f>
        <v>379.30549999999994</v>
      </c>
      <c r="M26" s="91" t="s">
        <v>236</v>
      </c>
      <c r="N26" s="96">
        <v>350</v>
      </c>
      <c r="O26" s="96">
        <f>(N26+10)*1.015*1.01</f>
        <v>369.054</v>
      </c>
      <c r="P26" s="91" t="s">
        <v>236</v>
      </c>
      <c r="Q26" s="96">
        <v>350</v>
      </c>
      <c r="R26" s="96">
        <f>(Q26+10)*1.015*1.01</f>
        <v>369.054</v>
      </c>
      <c r="S26" s="91" t="s">
        <v>236</v>
      </c>
      <c r="T26" s="96">
        <v>399</v>
      </c>
      <c r="U26" s="96">
        <f>(T26+10)*1.015*1.01</f>
        <v>419.2863499999999</v>
      </c>
      <c r="V26" s="34"/>
      <c r="W26" s="45">
        <v>17</v>
      </c>
      <c r="X26" s="45"/>
      <c r="Y26" s="23">
        <v>365</v>
      </c>
      <c r="Z26" s="102" t="s">
        <v>235</v>
      </c>
    </row>
    <row r="27" spans="1:26" ht="14.25" customHeight="1">
      <c r="A27" s="74">
        <v>22</v>
      </c>
      <c r="B27" s="9"/>
      <c r="C27" s="13" t="s">
        <v>60</v>
      </c>
      <c r="D27" s="13"/>
      <c r="E27" s="9"/>
      <c r="F27" s="10" t="s">
        <v>62</v>
      </c>
      <c r="G27" s="77" t="s">
        <v>21</v>
      </c>
      <c r="H27" s="23">
        <v>375</v>
      </c>
      <c r="I27" s="23">
        <f>(H27+10)*1.015*1.01</f>
        <v>394.68275</v>
      </c>
      <c r="J27" s="91" t="s">
        <v>236</v>
      </c>
      <c r="K27" s="23">
        <v>345</v>
      </c>
      <c r="L27" s="23">
        <f>(K27+10)*1.015*1.01</f>
        <v>363.92825</v>
      </c>
      <c r="M27" s="91" t="s">
        <v>236</v>
      </c>
      <c r="N27" s="96">
        <v>320</v>
      </c>
      <c r="O27" s="96">
        <f>(N27+10)*1.015*1.01</f>
        <v>338.29949999999997</v>
      </c>
      <c r="P27" s="91" t="s">
        <v>236</v>
      </c>
      <c r="Q27" s="96">
        <v>340</v>
      </c>
      <c r="R27" s="96">
        <f>(Q27+10)*1.015*1.01</f>
        <v>358.80249999999995</v>
      </c>
      <c r="S27" s="91" t="s">
        <v>236</v>
      </c>
      <c r="T27" s="96">
        <v>389</v>
      </c>
      <c r="U27" s="96">
        <f>(T27+10)*1.015*1.01</f>
        <v>409.03484999999995</v>
      </c>
      <c r="V27" s="34"/>
      <c r="W27" s="45">
        <v>17</v>
      </c>
      <c r="X27" s="45"/>
      <c r="Y27" s="23">
        <v>355</v>
      </c>
      <c r="Z27" s="102" t="s">
        <v>235</v>
      </c>
    </row>
    <row r="28" spans="1:26" ht="14.25" customHeight="1">
      <c r="A28" s="74">
        <v>23</v>
      </c>
      <c r="B28" s="9"/>
      <c r="C28" s="13" t="s">
        <v>63</v>
      </c>
      <c r="D28" s="13"/>
      <c r="E28" s="9">
        <v>833</v>
      </c>
      <c r="F28" s="10" t="s">
        <v>61</v>
      </c>
      <c r="G28" s="77" t="s">
        <v>21</v>
      </c>
      <c r="H28" s="23">
        <v>430</v>
      </c>
      <c r="I28" s="23">
        <f>(H28+10)*1.015*1.01</f>
        <v>451.066</v>
      </c>
      <c r="J28" s="91" t="s">
        <v>236</v>
      </c>
      <c r="K28" s="23">
        <v>425</v>
      </c>
      <c r="L28" s="23">
        <f>(K28+10)*1.015*1.01</f>
        <v>445.94025</v>
      </c>
      <c r="M28" s="91" t="s">
        <v>236</v>
      </c>
      <c r="N28" s="96">
        <v>420</v>
      </c>
      <c r="O28" s="96">
        <f>(N28+10)*1.015*1.01</f>
        <v>440.81449999999995</v>
      </c>
      <c r="P28" s="91" t="s">
        <v>236</v>
      </c>
      <c r="Q28" s="96">
        <v>390</v>
      </c>
      <c r="R28" s="96">
        <f>(Q28+10)*1.015*1.01</f>
        <v>410.05999999999995</v>
      </c>
      <c r="S28" s="91" t="s">
        <v>236</v>
      </c>
      <c r="T28" s="96">
        <v>423</v>
      </c>
      <c r="U28" s="96">
        <f>(T28+10)*1.015*1.01</f>
        <v>443.88994999999994</v>
      </c>
      <c r="V28" s="34"/>
      <c r="W28" s="45">
        <v>17</v>
      </c>
      <c r="X28" s="45"/>
      <c r="Y28" s="23">
        <v>415</v>
      </c>
      <c r="Z28" s="102"/>
    </row>
    <row r="29" spans="1:26" ht="14.25" customHeight="1">
      <c r="A29" s="76">
        <v>24</v>
      </c>
      <c r="B29" s="9"/>
      <c r="C29" s="13" t="s">
        <v>63</v>
      </c>
      <c r="D29" s="13"/>
      <c r="E29" s="9"/>
      <c r="F29" s="10" t="s">
        <v>62</v>
      </c>
      <c r="G29" s="77" t="s">
        <v>21</v>
      </c>
      <c r="H29" s="23">
        <v>400</v>
      </c>
      <c r="I29" s="23">
        <f>(H29+10)*1.015*1.01</f>
        <v>420.31149999999997</v>
      </c>
      <c r="J29" s="91" t="s">
        <v>236</v>
      </c>
      <c r="K29" s="23">
        <v>395</v>
      </c>
      <c r="L29" s="23">
        <f>(K29+10)*1.015*1.01</f>
        <v>415.18575</v>
      </c>
      <c r="M29" s="91" t="s">
        <v>236</v>
      </c>
      <c r="N29" s="96">
        <v>390</v>
      </c>
      <c r="O29" s="96">
        <f>(N29+10)*1.015*1.01</f>
        <v>410.05999999999995</v>
      </c>
      <c r="P29" s="91" t="s">
        <v>236</v>
      </c>
      <c r="Q29" s="96">
        <v>380</v>
      </c>
      <c r="R29" s="96">
        <f>(Q29+10)*1.015*1.01</f>
        <v>399.8085</v>
      </c>
      <c r="S29" s="91" t="s">
        <v>236</v>
      </c>
      <c r="T29" s="96">
        <v>414</v>
      </c>
      <c r="U29" s="96">
        <f>(T29+10)*1.015*1.01</f>
        <v>434.6636</v>
      </c>
      <c r="V29" s="34"/>
      <c r="W29" s="45">
        <v>17</v>
      </c>
      <c r="X29" s="45"/>
      <c r="Y29" s="23">
        <v>405</v>
      </c>
      <c r="Z29" s="102"/>
    </row>
    <row r="30" spans="1:26" s="62" customFormat="1" ht="14.25" customHeight="1" hidden="1">
      <c r="A30" s="77">
        <v>25</v>
      </c>
      <c r="B30" s="6" t="s">
        <v>64</v>
      </c>
      <c r="C30" s="15" t="s">
        <v>65</v>
      </c>
      <c r="D30" s="16"/>
      <c r="E30" s="26"/>
      <c r="F30" s="27" t="s">
        <v>66</v>
      </c>
      <c r="G30" s="26" t="s">
        <v>67</v>
      </c>
      <c r="H30" s="84"/>
      <c r="I30" s="92">
        <v>6.3</v>
      </c>
      <c r="J30" s="93" t="s">
        <v>165</v>
      </c>
      <c r="K30" s="84"/>
      <c r="L30" s="92">
        <v>6.3</v>
      </c>
      <c r="M30" s="93" t="s">
        <v>165</v>
      </c>
      <c r="N30" s="84"/>
      <c r="O30" s="92">
        <v>6.3</v>
      </c>
      <c r="P30" s="93" t="s">
        <v>165</v>
      </c>
      <c r="Q30" s="30">
        <f>(R30/1.01/1.015)-10</f>
        <v>-3.854557869580061</v>
      </c>
      <c r="R30" s="92">
        <v>6.3</v>
      </c>
      <c r="S30" s="93" t="s">
        <v>165</v>
      </c>
      <c r="T30" s="84"/>
      <c r="U30" s="92">
        <v>6.3</v>
      </c>
      <c r="V30" s="93" t="s">
        <v>165</v>
      </c>
      <c r="Y30" s="94">
        <v>6.05</v>
      </c>
      <c r="Z30" s="93" t="s">
        <v>165</v>
      </c>
    </row>
    <row r="31" spans="1:26" s="62" customFormat="1" ht="14.25" customHeight="1" hidden="1">
      <c r="A31" s="76">
        <v>26</v>
      </c>
      <c r="B31" s="6"/>
      <c r="C31" s="15" t="s">
        <v>65</v>
      </c>
      <c r="D31" s="16"/>
      <c r="E31" s="26">
        <v>862</v>
      </c>
      <c r="F31" s="27" t="s">
        <v>68</v>
      </c>
      <c r="G31" s="26" t="s">
        <v>67</v>
      </c>
      <c r="H31" s="84"/>
      <c r="I31" s="94">
        <v>6.75</v>
      </c>
      <c r="J31" s="93" t="s">
        <v>165</v>
      </c>
      <c r="K31" s="84"/>
      <c r="L31" s="94">
        <v>6.75</v>
      </c>
      <c r="M31" s="93" t="s">
        <v>165</v>
      </c>
      <c r="N31" s="84"/>
      <c r="O31" s="94">
        <v>6.75</v>
      </c>
      <c r="P31" s="93" t="s">
        <v>165</v>
      </c>
      <c r="Q31" s="30">
        <f>(R31/1.01/1.015)-10</f>
        <v>-3.4155977174072083</v>
      </c>
      <c r="R31" s="94">
        <v>6.75</v>
      </c>
      <c r="S31" s="93" t="s">
        <v>165</v>
      </c>
      <c r="T31" s="84"/>
      <c r="U31" s="94">
        <v>6.75</v>
      </c>
      <c r="V31" s="93" t="s">
        <v>165</v>
      </c>
      <c r="Y31" s="94"/>
      <c r="Z31" s="93"/>
    </row>
    <row r="32" spans="1:26" s="62" customFormat="1" ht="14.25" customHeight="1" hidden="1">
      <c r="A32" s="77">
        <v>27</v>
      </c>
      <c r="B32" s="17"/>
      <c r="C32" s="10" t="s">
        <v>69</v>
      </c>
      <c r="D32" s="18"/>
      <c r="E32" s="26">
        <v>863</v>
      </c>
      <c r="F32" s="27" t="s">
        <v>70</v>
      </c>
      <c r="G32" s="85" t="s">
        <v>67</v>
      </c>
      <c r="H32" s="28"/>
      <c r="I32" s="26">
        <v>5.67</v>
      </c>
      <c r="J32" s="95" t="s">
        <v>165</v>
      </c>
      <c r="K32" s="28"/>
      <c r="L32" s="26">
        <v>5.67</v>
      </c>
      <c r="M32" s="95" t="s">
        <v>165</v>
      </c>
      <c r="N32" s="28"/>
      <c r="O32" s="26">
        <v>5.67</v>
      </c>
      <c r="P32" s="95" t="s">
        <v>165</v>
      </c>
      <c r="Q32" s="30">
        <f>(R32/1.01/1.015)-10</f>
        <v>-4.469102082622055</v>
      </c>
      <c r="R32" s="26">
        <v>5.67</v>
      </c>
      <c r="S32" s="95" t="s">
        <v>165</v>
      </c>
      <c r="T32" s="28"/>
      <c r="U32" s="26">
        <v>5.67</v>
      </c>
      <c r="V32" s="95" t="s">
        <v>165</v>
      </c>
      <c r="Y32" s="26">
        <v>5.6</v>
      </c>
      <c r="Z32" s="95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8"/>
      <c r="B34" s="69"/>
      <c r="C34" s="69"/>
      <c r="D34" s="69"/>
      <c r="E34" s="69"/>
      <c r="F34" s="69"/>
      <c r="G34" s="69"/>
      <c r="H34" s="69"/>
      <c r="I34" s="69"/>
      <c r="J34" s="88"/>
      <c r="K34" s="88"/>
      <c r="L34" s="88"/>
      <c r="M34" s="88"/>
      <c r="N34" s="88"/>
      <c r="O34" s="97"/>
      <c r="P34" s="97"/>
      <c r="Q34" s="60"/>
      <c r="R34" s="60"/>
    </row>
    <row r="35" spans="1:22" ht="14.25" customHeight="1">
      <c r="A35" s="70" t="s">
        <v>2</v>
      </c>
      <c r="B35" s="46" t="s">
        <v>3</v>
      </c>
      <c r="C35" s="71" t="s">
        <v>4</v>
      </c>
      <c r="D35" s="72"/>
      <c r="E35" s="70" t="s">
        <v>5</v>
      </c>
      <c r="F35" s="46" t="s">
        <v>6</v>
      </c>
      <c r="G35" s="70" t="s">
        <v>7</v>
      </c>
      <c r="H35" s="86" t="s">
        <v>274</v>
      </c>
      <c r="I35" s="89"/>
      <c r="J35" s="90"/>
      <c r="K35" s="86" t="s">
        <v>275</v>
      </c>
      <c r="L35" s="89"/>
      <c r="M35" s="90"/>
      <c r="N35" s="86" t="s">
        <v>276</v>
      </c>
      <c r="O35" s="89"/>
      <c r="P35" s="90"/>
      <c r="Q35" s="79" t="s">
        <v>277</v>
      </c>
      <c r="R35" s="89"/>
      <c r="S35" s="90"/>
      <c r="T35" s="46" t="s">
        <v>172</v>
      </c>
      <c r="U35" s="46" t="s">
        <v>258</v>
      </c>
      <c r="V35" s="43" t="s">
        <v>80</v>
      </c>
    </row>
    <row r="36" spans="1:22" ht="18" customHeight="1">
      <c r="A36" s="73"/>
      <c r="B36" s="53"/>
      <c r="C36" s="74"/>
      <c r="D36" s="75"/>
      <c r="E36" s="73"/>
      <c r="F36" s="53"/>
      <c r="G36" s="73"/>
      <c r="H36" s="80" t="s">
        <v>14</v>
      </c>
      <c r="I36" s="80" t="s">
        <v>15</v>
      </c>
      <c r="J36" s="80" t="s">
        <v>106</v>
      </c>
      <c r="K36" s="80" t="s">
        <v>14</v>
      </c>
      <c r="L36" s="80" t="s">
        <v>15</v>
      </c>
      <c r="M36" s="80" t="s">
        <v>106</v>
      </c>
      <c r="N36" s="80" t="s">
        <v>14</v>
      </c>
      <c r="O36" s="80" t="s">
        <v>15</v>
      </c>
      <c r="P36" s="80" t="s">
        <v>106</v>
      </c>
      <c r="Q36" s="80" t="s">
        <v>14</v>
      </c>
      <c r="R36" s="80" t="s">
        <v>15</v>
      </c>
      <c r="S36" s="80" t="s">
        <v>106</v>
      </c>
      <c r="T36" s="73"/>
      <c r="U36" s="73"/>
      <c r="V36" s="43"/>
    </row>
    <row r="37" spans="1:22" s="61" customFormat="1" ht="23.25" customHeight="1">
      <c r="A37" s="73">
        <v>1</v>
      </c>
      <c r="B37" s="6" t="s">
        <v>16</v>
      </c>
      <c r="C37" s="6" t="s">
        <v>17</v>
      </c>
      <c r="D37" s="8" t="s">
        <v>18</v>
      </c>
      <c r="E37" s="9" t="s">
        <v>19</v>
      </c>
      <c r="F37" s="21" t="s">
        <v>20</v>
      </c>
      <c r="G37" s="81" t="s">
        <v>21</v>
      </c>
      <c r="H37" s="55"/>
      <c r="I37" s="30"/>
      <c r="J37" s="29"/>
      <c r="K37" s="30"/>
      <c r="L37" s="30"/>
      <c r="M37" s="29"/>
      <c r="N37" s="55"/>
      <c r="O37" s="30"/>
      <c r="P37" s="29"/>
      <c r="Q37" s="55"/>
      <c r="R37" s="30"/>
      <c r="S37" s="29"/>
      <c r="T37" s="99" t="e">
        <f aca="true" t="shared" si="2" ref="T37:U52">AVERAGE(H6,K6,N6,Q6,T6,H37,K37,N37,Q37)</f>
        <v>#REF!</v>
      </c>
      <c r="U37" s="99" t="e">
        <f t="shared" si="2"/>
        <v>#REF!</v>
      </c>
      <c r="V37" s="44">
        <v>17</v>
      </c>
    </row>
    <row r="38" spans="1:22" ht="25.5" customHeight="1">
      <c r="A38" s="73">
        <v>2</v>
      </c>
      <c r="B38" s="9"/>
      <c r="C38" s="9"/>
      <c r="D38" s="10" t="s">
        <v>22</v>
      </c>
      <c r="E38" s="9"/>
      <c r="F38" s="10" t="s">
        <v>23</v>
      </c>
      <c r="G38" s="77" t="s">
        <v>21</v>
      </c>
      <c r="H38" s="58"/>
      <c r="I38" s="23"/>
      <c r="J38" s="34"/>
      <c r="K38" s="23"/>
      <c r="L38" s="23"/>
      <c r="M38" s="34"/>
      <c r="N38" s="58"/>
      <c r="O38" s="23"/>
      <c r="P38" s="34"/>
      <c r="Q38" s="58"/>
      <c r="R38" s="23"/>
      <c r="S38" s="34"/>
      <c r="T38" s="87" t="e">
        <f t="shared" si="2"/>
        <v>#REF!</v>
      </c>
      <c r="U38" s="87" t="e">
        <f t="shared" si="2"/>
        <v>#REF!</v>
      </c>
      <c r="V38" s="45">
        <v>17</v>
      </c>
    </row>
    <row r="39" spans="1:22" ht="12" customHeight="1">
      <c r="A39" s="73">
        <v>3</v>
      </c>
      <c r="B39" s="9"/>
      <c r="C39" s="9"/>
      <c r="D39" s="10" t="s">
        <v>24</v>
      </c>
      <c r="E39" s="9"/>
      <c r="F39" s="10" t="s">
        <v>25</v>
      </c>
      <c r="G39" s="77" t="s">
        <v>21</v>
      </c>
      <c r="H39" s="58"/>
      <c r="I39" s="23"/>
      <c r="J39" s="34"/>
      <c r="K39" s="23"/>
      <c r="L39" s="23"/>
      <c r="M39" s="34"/>
      <c r="N39" s="58"/>
      <c r="O39" s="23"/>
      <c r="P39" s="34"/>
      <c r="Q39" s="58"/>
      <c r="R39" s="23"/>
      <c r="S39" s="34"/>
      <c r="T39" s="87" t="e">
        <f t="shared" si="2"/>
        <v>#REF!</v>
      </c>
      <c r="U39" s="87" t="e">
        <f t="shared" si="2"/>
        <v>#REF!</v>
      </c>
      <c r="V39" s="45">
        <v>17</v>
      </c>
    </row>
    <row r="40" spans="1:22" s="61" customFormat="1" ht="33" customHeight="1">
      <c r="A40" s="73">
        <v>4</v>
      </c>
      <c r="B40" s="9"/>
      <c r="C40" s="6" t="s">
        <v>26</v>
      </c>
      <c r="D40" s="11" t="s">
        <v>27</v>
      </c>
      <c r="E40" s="9">
        <v>112</v>
      </c>
      <c r="F40" s="21" t="s">
        <v>28</v>
      </c>
      <c r="G40" s="81" t="s">
        <v>21</v>
      </c>
      <c r="H40" s="55"/>
      <c r="I40" s="30"/>
      <c r="J40" s="29"/>
      <c r="K40" s="30"/>
      <c r="L40" s="30"/>
      <c r="M40" s="29"/>
      <c r="N40" s="55"/>
      <c r="O40" s="30"/>
      <c r="P40" s="29"/>
      <c r="Q40" s="55"/>
      <c r="R40" s="30"/>
      <c r="S40" s="29"/>
      <c r="T40" s="99" t="e">
        <f t="shared" si="2"/>
        <v>#REF!</v>
      </c>
      <c r="U40" s="99" t="e">
        <f t="shared" si="2"/>
        <v>#REF!</v>
      </c>
      <c r="V40" s="44">
        <v>17</v>
      </c>
    </row>
    <row r="41" spans="1:22" ht="14.25" customHeight="1">
      <c r="A41" s="73">
        <v>5</v>
      </c>
      <c r="B41" s="9"/>
      <c r="C41" s="9"/>
      <c r="D41" s="12" t="s">
        <v>29</v>
      </c>
      <c r="E41" s="9"/>
      <c r="F41" s="10" t="s">
        <v>30</v>
      </c>
      <c r="G41" s="77" t="s">
        <v>21</v>
      </c>
      <c r="H41" s="58"/>
      <c r="I41" s="23"/>
      <c r="J41" s="34"/>
      <c r="K41" s="23"/>
      <c r="L41" s="23"/>
      <c r="M41" s="34"/>
      <c r="N41" s="58"/>
      <c r="O41" s="23"/>
      <c r="P41" s="34"/>
      <c r="Q41" s="58"/>
      <c r="R41" s="23"/>
      <c r="S41" s="34"/>
      <c r="T41" s="87" t="e">
        <f t="shared" si="2"/>
        <v>#REF!</v>
      </c>
      <c r="U41" s="87" t="e">
        <f t="shared" si="2"/>
        <v>#REF!</v>
      </c>
      <c r="V41" s="45">
        <v>17</v>
      </c>
    </row>
    <row r="42" spans="1:22" ht="14.25" customHeight="1">
      <c r="A42" s="73">
        <v>6</v>
      </c>
      <c r="B42" s="9"/>
      <c r="C42" s="9"/>
      <c r="D42" s="12" t="s">
        <v>29</v>
      </c>
      <c r="E42" s="9"/>
      <c r="F42" s="10" t="s">
        <v>31</v>
      </c>
      <c r="G42" s="77" t="s">
        <v>21</v>
      </c>
      <c r="H42" s="58"/>
      <c r="I42" s="23"/>
      <c r="J42" s="34"/>
      <c r="K42" s="23"/>
      <c r="L42" s="23"/>
      <c r="M42" s="34"/>
      <c r="N42" s="58"/>
      <c r="O42" s="23"/>
      <c r="P42" s="34"/>
      <c r="Q42" s="58"/>
      <c r="R42" s="23"/>
      <c r="S42" s="34"/>
      <c r="T42" s="87" t="e">
        <f t="shared" si="2"/>
        <v>#REF!</v>
      </c>
      <c r="U42" s="87" t="e">
        <f t="shared" si="2"/>
        <v>#REF!</v>
      </c>
      <c r="V42" s="45">
        <v>17</v>
      </c>
    </row>
    <row r="43" spans="1:22" ht="14.25" customHeight="1">
      <c r="A43" s="73">
        <v>7</v>
      </c>
      <c r="B43" s="9"/>
      <c r="C43" s="9"/>
      <c r="D43" s="12" t="s">
        <v>29</v>
      </c>
      <c r="E43" s="9"/>
      <c r="F43" s="10" t="s">
        <v>32</v>
      </c>
      <c r="G43" s="77" t="s">
        <v>21</v>
      </c>
      <c r="H43" s="58"/>
      <c r="I43" s="23"/>
      <c r="J43" s="34"/>
      <c r="K43" s="23"/>
      <c r="L43" s="23"/>
      <c r="M43" s="34"/>
      <c r="N43" s="58"/>
      <c r="O43" s="23"/>
      <c r="P43" s="34"/>
      <c r="Q43" s="58"/>
      <c r="R43" s="23"/>
      <c r="S43" s="34"/>
      <c r="T43" s="87" t="e">
        <f t="shared" si="2"/>
        <v>#REF!</v>
      </c>
      <c r="U43" s="87" t="e">
        <f t="shared" si="2"/>
        <v>#REF!</v>
      </c>
      <c r="V43" s="45">
        <v>17</v>
      </c>
    </row>
    <row r="44" spans="1:22" ht="14.25" customHeight="1">
      <c r="A44" s="73">
        <v>8</v>
      </c>
      <c r="B44" s="9"/>
      <c r="C44" s="9"/>
      <c r="D44" s="12" t="s">
        <v>29</v>
      </c>
      <c r="E44" s="9"/>
      <c r="F44" s="10" t="s">
        <v>33</v>
      </c>
      <c r="G44" s="77" t="s">
        <v>21</v>
      </c>
      <c r="H44" s="58"/>
      <c r="I44" s="23"/>
      <c r="J44" s="34"/>
      <c r="K44" s="23"/>
      <c r="L44" s="23"/>
      <c r="M44" s="34"/>
      <c r="N44" s="58"/>
      <c r="O44" s="23"/>
      <c r="P44" s="34"/>
      <c r="Q44" s="58"/>
      <c r="R44" s="23"/>
      <c r="S44" s="34"/>
      <c r="T44" s="87" t="e">
        <f t="shared" si="2"/>
        <v>#REF!</v>
      </c>
      <c r="U44" s="87" t="e">
        <f t="shared" si="2"/>
        <v>#REF!</v>
      </c>
      <c r="V44" s="45">
        <v>17</v>
      </c>
    </row>
    <row r="45" spans="1:22" s="61" customFormat="1" ht="20.25" customHeight="1">
      <c r="A45" s="73">
        <v>9</v>
      </c>
      <c r="B45" s="9"/>
      <c r="C45" s="6" t="s">
        <v>34</v>
      </c>
      <c r="D45" s="11" t="s">
        <v>35</v>
      </c>
      <c r="E45" s="9">
        <v>182</v>
      </c>
      <c r="F45" s="21" t="s">
        <v>36</v>
      </c>
      <c r="G45" s="81" t="s">
        <v>21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99" t="e">
        <f t="shared" si="2"/>
        <v>#REF!</v>
      </c>
      <c r="U45" s="99" t="e">
        <f t="shared" si="2"/>
        <v>#REF!</v>
      </c>
      <c r="V45" s="45">
        <v>17</v>
      </c>
    </row>
    <row r="46" spans="1:22" ht="14.25" customHeight="1">
      <c r="A46" s="73">
        <v>10</v>
      </c>
      <c r="B46" s="9"/>
      <c r="C46" s="9"/>
      <c r="D46" s="10" t="s">
        <v>37</v>
      </c>
      <c r="E46" s="9"/>
      <c r="F46" s="13" t="s">
        <v>38</v>
      </c>
      <c r="G46" s="77" t="s">
        <v>21</v>
      </c>
      <c r="H46" s="58"/>
      <c r="I46" s="23"/>
      <c r="J46" s="34"/>
      <c r="K46" s="23"/>
      <c r="L46" s="23"/>
      <c r="M46" s="34"/>
      <c r="N46" s="58"/>
      <c r="O46" s="23"/>
      <c r="P46" s="34"/>
      <c r="Q46" s="58"/>
      <c r="R46" s="23"/>
      <c r="S46" s="34"/>
      <c r="T46" s="87" t="e">
        <f t="shared" si="2"/>
        <v>#REF!</v>
      </c>
      <c r="U46" s="87" t="e">
        <f t="shared" si="2"/>
        <v>#REF!</v>
      </c>
      <c r="V46" s="45">
        <v>17</v>
      </c>
    </row>
    <row r="47" spans="1:22" ht="14.25" customHeight="1">
      <c r="A47" s="73">
        <v>11</v>
      </c>
      <c r="B47" s="9"/>
      <c r="C47" s="9"/>
      <c r="D47" s="10" t="s">
        <v>39</v>
      </c>
      <c r="E47" s="9"/>
      <c r="F47" s="13" t="s">
        <v>40</v>
      </c>
      <c r="G47" s="77" t="s">
        <v>21</v>
      </c>
      <c r="H47" s="58"/>
      <c r="I47" s="23"/>
      <c r="J47" s="34"/>
      <c r="K47" s="23"/>
      <c r="L47" s="23"/>
      <c r="M47" s="34"/>
      <c r="N47" s="58"/>
      <c r="O47" s="23"/>
      <c r="P47" s="34"/>
      <c r="Q47" s="58"/>
      <c r="R47" s="23"/>
      <c r="S47" s="34"/>
      <c r="T47" s="87" t="e">
        <f t="shared" si="2"/>
        <v>#REF!</v>
      </c>
      <c r="U47" s="87" t="e">
        <f t="shared" si="2"/>
        <v>#REF!</v>
      </c>
      <c r="V47" s="45">
        <v>17</v>
      </c>
    </row>
    <row r="48" spans="1:22" ht="14.25" customHeight="1">
      <c r="A48" s="73">
        <v>12</v>
      </c>
      <c r="B48" s="9"/>
      <c r="C48" s="9"/>
      <c r="D48" s="10" t="s">
        <v>41</v>
      </c>
      <c r="E48" s="9"/>
      <c r="F48" s="13" t="s">
        <v>42</v>
      </c>
      <c r="G48" s="77" t="s">
        <v>21</v>
      </c>
      <c r="H48" s="58"/>
      <c r="I48" s="23"/>
      <c r="J48" s="34"/>
      <c r="K48" s="23"/>
      <c r="L48" s="23"/>
      <c r="M48" s="34"/>
      <c r="N48" s="58"/>
      <c r="O48" s="23"/>
      <c r="P48" s="34"/>
      <c r="Q48" s="58"/>
      <c r="R48" s="23"/>
      <c r="S48" s="34"/>
      <c r="T48" s="87" t="e">
        <f t="shared" si="2"/>
        <v>#REF!</v>
      </c>
      <c r="U48" s="87" t="e">
        <f t="shared" si="2"/>
        <v>#REF!</v>
      </c>
      <c r="V48" s="45">
        <v>17</v>
      </c>
    </row>
    <row r="49" spans="1:22" ht="14.25" customHeight="1">
      <c r="A49" s="73">
        <v>13</v>
      </c>
      <c r="B49" s="9"/>
      <c r="C49" s="6" t="s">
        <v>43</v>
      </c>
      <c r="D49" s="9"/>
      <c r="E49" s="9">
        <v>183</v>
      </c>
      <c r="F49" s="13" t="s">
        <v>44</v>
      </c>
      <c r="G49" s="77" t="s">
        <v>21</v>
      </c>
      <c r="H49" s="58"/>
      <c r="I49" s="23"/>
      <c r="J49" s="34"/>
      <c r="K49" s="23"/>
      <c r="L49" s="23"/>
      <c r="M49" s="34"/>
      <c r="N49" s="58"/>
      <c r="O49" s="23"/>
      <c r="P49" s="34"/>
      <c r="Q49" s="58"/>
      <c r="R49" s="23"/>
      <c r="S49" s="34"/>
      <c r="T49" s="87" t="e">
        <f t="shared" si="2"/>
        <v>#REF!</v>
      </c>
      <c r="U49" s="87" t="e">
        <f t="shared" si="2"/>
        <v>#REF!</v>
      </c>
      <c r="V49" s="45">
        <v>17</v>
      </c>
    </row>
    <row r="50" spans="1:22" s="61" customFormat="1" ht="22.5" customHeight="1">
      <c r="A50" s="73">
        <v>14</v>
      </c>
      <c r="B50" s="9"/>
      <c r="C50" s="6" t="s">
        <v>45</v>
      </c>
      <c r="D50" s="11" t="s">
        <v>46</v>
      </c>
      <c r="E50" s="25"/>
      <c r="F50" s="21" t="s">
        <v>47</v>
      </c>
      <c r="G50" s="81" t="s">
        <v>21</v>
      </c>
      <c r="H50" s="55"/>
      <c r="I50" s="24"/>
      <c r="J50" s="29"/>
      <c r="K50" s="24"/>
      <c r="L50" s="24"/>
      <c r="M50" s="24"/>
      <c r="N50" s="24"/>
      <c r="O50" s="24"/>
      <c r="P50" s="29"/>
      <c r="Q50" s="55"/>
      <c r="R50" s="24"/>
      <c r="S50" s="29"/>
      <c r="T50" s="99" t="e">
        <f t="shared" si="2"/>
        <v>#REF!</v>
      </c>
      <c r="U50" s="99" t="e">
        <f t="shared" si="2"/>
        <v>#REF!</v>
      </c>
      <c r="V50" s="45">
        <v>17</v>
      </c>
    </row>
    <row r="51" spans="1:22" ht="14.25" customHeight="1">
      <c r="A51" s="73">
        <v>15</v>
      </c>
      <c r="B51" s="9"/>
      <c r="C51" s="9"/>
      <c r="D51" s="10" t="s">
        <v>48</v>
      </c>
      <c r="E51" s="25"/>
      <c r="F51" s="10" t="s">
        <v>49</v>
      </c>
      <c r="G51" s="77" t="s">
        <v>21</v>
      </c>
      <c r="H51" s="58"/>
      <c r="I51" s="23"/>
      <c r="J51" s="34"/>
      <c r="K51" s="23"/>
      <c r="L51" s="23"/>
      <c r="M51" s="34"/>
      <c r="N51" s="58"/>
      <c r="O51" s="23"/>
      <c r="P51" s="34"/>
      <c r="Q51" s="58"/>
      <c r="R51" s="23"/>
      <c r="S51" s="34"/>
      <c r="T51" s="87" t="e">
        <f t="shared" si="2"/>
        <v>#REF!</v>
      </c>
      <c r="U51" s="87" t="e">
        <f t="shared" si="2"/>
        <v>#REF!</v>
      </c>
      <c r="V51" s="45">
        <v>17</v>
      </c>
    </row>
    <row r="52" spans="1:22" ht="14.25" customHeight="1">
      <c r="A52" s="73">
        <v>16</v>
      </c>
      <c r="B52" s="9"/>
      <c r="C52" s="9"/>
      <c r="D52" s="10" t="s">
        <v>50</v>
      </c>
      <c r="E52" s="25">
        <v>192</v>
      </c>
      <c r="F52" s="10" t="s">
        <v>51</v>
      </c>
      <c r="G52" s="77" t="s">
        <v>21</v>
      </c>
      <c r="H52" s="58"/>
      <c r="I52" s="34"/>
      <c r="J52" s="34"/>
      <c r="K52" s="34"/>
      <c r="L52" s="34"/>
      <c r="M52" s="34"/>
      <c r="N52" s="58"/>
      <c r="O52" s="34"/>
      <c r="P52" s="34"/>
      <c r="Q52" s="58"/>
      <c r="R52" s="34"/>
      <c r="S52" s="34"/>
      <c r="T52" s="87" t="e">
        <f t="shared" si="2"/>
        <v>#REF!</v>
      </c>
      <c r="U52" s="87" t="e">
        <f t="shared" si="2"/>
        <v>#REF!</v>
      </c>
      <c r="V52" s="45">
        <v>17</v>
      </c>
    </row>
    <row r="53" spans="1:22" ht="14.25" customHeight="1">
      <c r="A53" s="73">
        <v>17</v>
      </c>
      <c r="B53" s="9"/>
      <c r="C53" s="9"/>
      <c r="D53" s="10" t="s">
        <v>52</v>
      </c>
      <c r="E53" s="25">
        <v>191</v>
      </c>
      <c r="F53" s="10" t="s">
        <v>53</v>
      </c>
      <c r="G53" s="77" t="s">
        <v>21</v>
      </c>
      <c r="H53" s="58"/>
      <c r="I53" s="23"/>
      <c r="J53" s="34"/>
      <c r="K53" s="23"/>
      <c r="L53" s="23"/>
      <c r="M53" s="34"/>
      <c r="N53" s="58"/>
      <c r="O53" s="23"/>
      <c r="P53" s="34"/>
      <c r="Q53" s="58"/>
      <c r="R53" s="23"/>
      <c r="S53" s="34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5">
        <v>17</v>
      </c>
    </row>
    <row r="54" spans="1:22" ht="14.25" customHeight="1">
      <c r="A54" s="73">
        <v>18</v>
      </c>
      <c r="B54" s="9"/>
      <c r="C54" s="10" t="s">
        <v>54</v>
      </c>
      <c r="D54" s="13"/>
      <c r="E54" s="9">
        <v>121</v>
      </c>
      <c r="F54" s="13"/>
      <c r="G54" s="77" t="s">
        <v>21</v>
      </c>
      <c r="H54" s="58"/>
      <c r="I54" s="23"/>
      <c r="J54" s="34"/>
      <c r="K54" s="23"/>
      <c r="L54" s="23"/>
      <c r="M54" s="34"/>
      <c r="N54" s="58"/>
      <c r="O54" s="23"/>
      <c r="P54" s="34"/>
      <c r="Q54" s="58"/>
      <c r="R54" s="23"/>
      <c r="S54" s="34"/>
      <c r="T54" s="87" t="e">
        <f t="shared" si="3"/>
        <v>#REF!</v>
      </c>
      <c r="U54" s="87" t="e">
        <f t="shared" si="3"/>
        <v>#REF!</v>
      </c>
      <c r="V54" s="45">
        <v>17</v>
      </c>
    </row>
    <row r="55" spans="1:22" ht="14.25" customHeight="1">
      <c r="A55" s="73">
        <v>19</v>
      </c>
      <c r="B55" s="9"/>
      <c r="C55" s="10" t="s">
        <v>55</v>
      </c>
      <c r="D55" s="13"/>
      <c r="E55" s="9">
        <v>125</v>
      </c>
      <c r="F55" s="10" t="s">
        <v>56</v>
      </c>
      <c r="G55" s="77" t="s">
        <v>21</v>
      </c>
      <c r="H55" s="58"/>
      <c r="I55" s="23"/>
      <c r="J55" s="34"/>
      <c r="K55" s="23"/>
      <c r="L55" s="23"/>
      <c r="M55" s="34"/>
      <c r="N55" s="58"/>
      <c r="O55" s="23"/>
      <c r="P55" s="34"/>
      <c r="Q55" s="58"/>
      <c r="R55" s="23"/>
      <c r="S55" s="34"/>
      <c r="T55" s="87" t="e">
        <f t="shared" si="3"/>
        <v>#REF!</v>
      </c>
      <c r="U55" s="87" t="e">
        <f t="shared" si="3"/>
        <v>#REF!</v>
      </c>
      <c r="V55" s="45">
        <v>17</v>
      </c>
    </row>
    <row r="56" spans="1:22" s="61" customFormat="1" ht="22.5" customHeight="1">
      <c r="A56" s="73">
        <v>20</v>
      </c>
      <c r="B56" s="6" t="s">
        <v>57</v>
      </c>
      <c r="C56" s="11" t="s">
        <v>58</v>
      </c>
      <c r="D56" s="14"/>
      <c r="E56" s="7"/>
      <c r="F56" s="21" t="s">
        <v>59</v>
      </c>
      <c r="G56" s="81" t="s">
        <v>21</v>
      </c>
      <c r="H56" s="24">
        <f>H58*0.75+H60*0.25</f>
        <v>316.25</v>
      </c>
      <c r="I56" s="24">
        <f>I58*0.75+I60*0.25</f>
        <v>334.45518749999997</v>
      </c>
      <c r="J56" s="29"/>
      <c r="K56" s="24">
        <f>K58*0.75+K60*0.25</f>
        <v>304</v>
      </c>
      <c r="L56" s="24">
        <f>L58*0.75+L60*0.25</f>
        <v>321.89709999999997</v>
      </c>
      <c r="M56" s="29"/>
      <c r="N56" s="24">
        <f>N58*0.75+N60*0.25</f>
        <v>306.25</v>
      </c>
      <c r="O56" s="24">
        <f>O58*0.75+O60*0.25</f>
        <v>324.2036875</v>
      </c>
      <c r="P56" s="29"/>
      <c r="Q56" s="24">
        <f>Q58*0.75+Q60*0.25</f>
        <v>376.75</v>
      </c>
      <c r="R56" s="24">
        <f>R58*0.75+R60*0.25</f>
        <v>396.47676249999995</v>
      </c>
      <c r="S56" s="29"/>
      <c r="T56" s="99">
        <f t="shared" si="3"/>
        <v>347.19444444444446</v>
      </c>
      <c r="U56" s="99">
        <f t="shared" si="3"/>
        <v>366.1778847222222</v>
      </c>
      <c r="V56" s="45">
        <v>17</v>
      </c>
    </row>
    <row r="57" spans="1:22" ht="14.25" customHeight="1">
      <c r="A57" s="73">
        <v>21</v>
      </c>
      <c r="B57" s="9"/>
      <c r="C57" s="13" t="s">
        <v>60</v>
      </c>
      <c r="D57" s="13"/>
      <c r="E57" s="9">
        <v>832</v>
      </c>
      <c r="F57" s="10" t="s">
        <v>61</v>
      </c>
      <c r="G57" s="77" t="s">
        <v>21</v>
      </c>
      <c r="H57" s="87">
        <v>320</v>
      </c>
      <c r="I57" s="87">
        <f>(H57+10)*1.015*1.01</f>
        <v>338.29949999999997</v>
      </c>
      <c r="J57" s="91" t="s">
        <v>99</v>
      </c>
      <c r="K57" s="96">
        <v>301</v>
      </c>
      <c r="L57" s="96">
        <f>(K57+10)*1.015*1.01</f>
        <v>318.82165</v>
      </c>
      <c r="M57" s="98" t="s">
        <v>278</v>
      </c>
      <c r="N57" s="96">
        <v>315</v>
      </c>
      <c r="O57" s="96">
        <f>(N57+10)*1.015*1.01</f>
        <v>333.1737499999999</v>
      </c>
      <c r="P57" s="98" t="s">
        <v>279</v>
      </c>
      <c r="Q57" s="96">
        <v>373</v>
      </c>
      <c r="R57" s="96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5">
        <v>17</v>
      </c>
    </row>
    <row r="58" spans="1:22" ht="14.25" customHeight="1">
      <c r="A58" s="73">
        <v>22</v>
      </c>
      <c r="B58" s="9"/>
      <c r="C58" s="13" t="s">
        <v>60</v>
      </c>
      <c r="D58" s="13"/>
      <c r="E58" s="9"/>
      <c r="F58" s="10" t="s">
        <v>62</v>
      </c>
      <c r="G58" s="77" t="s">
        <v>21</v>
      </c>
      <c r="H58" s="87">
        <v>300</v>
      </c>
      <c r="I58" s="87">
        <f>(H58+10)*1.015*1.01</f>
        <v>317.7965</v>
      </c>
      <c r="J58" s="91" t="s">
        <v>99</v>
      </c>
      <c r="K58" s="96">
        <v>292</v>
      </c>
      <c r="L58" s="96">
        <f>(K58+10)*1.015*1.01</f>
        <v>309.59529999999995</v>
      </c>
      <c r="M58" s="98" t="s">
        <v>278</v>
      </c>
      <c r="N58" s="96">
        <v>295</v>
      </c>
      <c r="O58" s="96">
        <f>(N58+10)*1.015*1.01</f>
        <v>312.67075</v>
      </c>
      <c r="P58" s="98" t="s">
        <v>279</v>
      </c>
      <c r="Q58" s="96">
        <v>368</v>
      </c>
      <c r="R58" s="96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5">
        <v>17</v>
      </c>
    </row>
    <row r="59" spans="1:22" ht="14.25" customHeight="1">
      <c r="A59" s="73">
        <v>23</v>
      </c>
      <c r="B59" s="9"/>
      <c r="C59" s="13" t="s">
        <v>63</v>
      </c>
      <c r="D59" s="13"/>
      <c r="E59" s="9">
        <v>833</v>
      </c>
      <c r="F59" s="10" t="s">
        <v>61</v>
      </c>
      <c r="G59" s="77" t="s">
        <v>21</v>
      </c>
      <c r="H59" s="87">
        <v>385</v>
      </c>
      <c r="I59" s="87">
        <f>(H59+10)*1.015*1.01</f>
        <v>404.93424999999996</v>
      </c>
      <c r="J59" s="91" t="s">
        <v>99</v>
      </c>
      <c r="K59" s="96">
        <v>350</v>
      </c>
      <c r="L59" s="96">
        <f>(K59+10)*1.015*1.01</f>
        <v>369.054</v>
      </c>
      <c r="M59" s="98" t="s">
        <v>278</v>
      </c>
      <c r="N59" s="96">
        <v>360</v>
      </c>
      <c r="O59" s="96">
        <f>(N59+10)*1.015*1.01</f>
        <v>379.30549999999994</v>
      </c>
      <c r="P59" s="98" t="s">
        <v>279</v>
      </c>
      <c r="Q59" s="96">
        <v>409</v>
      </c>
      <c r="R59" s="96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5">
        <v>17</v>
      </c>
    </row>
    <row r="60" spans="1:22" ht="14.25" customHeight="1">
      <c r="A60" s="73">
        <v>24</v>
      </c>
      <c r="B60" s="9"/>
      <c r="C60" s="13" t="s">
        <v>63</v>
      </c>
      <c r="D60" s="13"/>
      <c r="E60" s="9"/>
      <c r="F60" s="10" t="s">
        <v>62</v>
      </c>
      <c r="G60" s="77" t="s">
        <v>21</v>
      </c>
      <c r="H60" s="87">
        <v>365</v>
      </c>
      <c r="I60" s="87">
        <f>(H60+10)*1.015*1.01</f>
        <v>384.4312499999999</v>
      </c>
      <c r="J60" s="91" t="s">
        <v>99</v>
      </c>
      <c r="K60" s="96">
        <v>340</v>
      </c>
      <c r="L60" s="96">
        <f>(K60+10)*1.015*1.01</f>
        <v>358.80249999999995</v>
      </c>
      <c r="M60" s="98" t="s">
        <v>278</v>
      </c>
      <c r="N60" s="96">
        <v>340</v>
      </c>
      <c r="O60" s="96">
        <f>(N60+10)*1.015*1.01</f>
        <v>358.80249999999995</v>
      </c>
      <c r="P60" s="98" t="s">
        <v>279</v>
      </c>
      <c r="Q60" s="96">
        <v>403</v>
      </c>
      <c r="R60" s="96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5">
        <v>17</v>
      </c>
    </row>
    <row r="61" spans="1:21" ht="14.25" customHeight="1" hidden="1">
      <c r="A61" s="77">
        <v>25</v>
      </c>
      <c r="B61" s="6" t="s">
        <v>64</v>
      </c>
      <c r="C61" s="15" t="s">
        <v>65</v>
      </c>
      <c r="D61" s="16"/>
      <c r="E61" s="26"/>
      <c r="F61" s="27" t="s">
        <v>66</v>
      </c>
      <c r="G61" s="26" t="s">
        <v>67</v>
      </c>
      <c r="H61" s="84"/>
      <c r="I61" s="92">
        <v>6.3</v>
      </c>
      <c r="J61" s="93" t="s">
        <v>165</v>
      </c>
      <c r="K61" s="84"/>
      <c r="L61" s="92">
        <v>6.3</v>
      </c>
      <c r="M61" s="93" t="s">
        <v>165</v>
      </c>
      <c r="N61" s="84"/>
      <c r="O61" s="92">
        <v>6.3</v>
      </c>
      <c r="P61" s="93" t="s">
        <v>165</v>
      </c>
      <c r="Q61" s="84"/>
      <c r="R61" s="92">
        <v>6.3</v>
      </c>
      <c r="S61" s="93" t="s">
        <v>165</v>
      </c>
      <c r="T61" s="100"/>
      <c r="U61" s="92">
        <v>6.3</v>
      </c>
    </row>
    <row r="62" spans="1:21" ht="14.25" customHeight="1" hidden="1">
      <c r="A62" s="77">
        <v>26</v>
      </c>
      <c r="B62" s="6"/>
      <c r="C62" s="15" t="s">
        <v>65</v>
      </c>
      <c r="D62" s="16"/>
      <c r="E62" s="26">
        <v>862</v>
      </c>
      <c r="F62" s="27" t="s">
        <v>68</v>
      </c>
      <c r="G62" s="26" t="s">
        <v>67</v>
      </c>
      <c r="H62" s="84"/>
      <c r="I62" s="94">
        <v>6.75</v>
      </c>
      <c r="J62" s="93" t="s">
        <v>165</v>
      </c>
      <c r="K62" s="84"/>
      <c r="L62" s="94">
        <v>6.75</v>
      </c>
      <c r="M62" s="93" t="s">
        <v>165</v>
      </c>
      <c r="N62" s="84"/>
      <c r="O62" s="94">
        <v>6.75</v>
      </c>
      <c r="P62" s="93" t="s">
        <v>165</v>
      </c>
      <c r="Q62" s="84"/>
      <c r="R62" s="94">
        <v>6.75</v>
      </c>
      <c r="S62" s="93" t="s">
        <v>165</v>
      </c>
      <c r="T62" s="100"/>
      <c r="U62" s="94">
        <v>6.75</v>
      </c>
    </row>
    <row r="63" spans="1:21" ht="14.25" customHeight="1" hidden="1">
      <c r="A63" s="77">
        <v>27</v>
      </c>
      <c r="B63" s="17"/>
      <c r="C63" s="10" t="s">
        <v>69</v>
      </c>
      <c r="D63" s="18"/>
      <c r="E63" s="26">
        <v>863</v>
      </c>
      <c r="F63" s="27" t="s">
        <v>70</v>
      </c>
      <c r="G63" s="85" t="s">
        <v>67</v>
      </c>
      <c r="H63" s="28"/>
      <c r="I63" s="26">
        <v>5.67</v>
      </c>
      <c r="J63" s="95" t="s">
        <v>165</v>
      </c>
      <c r="K63" s="28"/>
      <c r="L63" s="26">
        <v>5.67</v>
      </c>
      <c r="M63" s="95" t="s">
        <v>165</v>
      </c>
      <c r="N63" s="28"/>
      <c r="O63" s="26">
        <v>5.67</v>
      </c>
      <c r="P63" s="95" t="s">
        <v>165</v>
      </c>
      <c r="Q63" s="28"/>
      <c r="R63" s="26">
        <v>5.67</v>
      </c>
      <c r="S63" s="95" t="s">
        <v>165</v>
      </c>
      <c r="T63" s="100"/>
      <c r="U63" s="26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19"/>
      <c r="H2" s="19"/>
      <c r="I2" s="19"/>
      <c r="J2" s="5"/>
      <c r="K2" s="5"/>
      <c r="L2" s="5"/>
      <c r="M2" s="5"/>
      <c r="N2" s="39"/>
      <c r="O2" s="39"/>
      <c r="P2" s="3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54" t="s">
        <v>282</v>
      </c>
      <c r="I3" s="56"/>
      <c r="J3" s="57"/>
      <c r="K3" s="54" t="s">
        <v>283</v>
      </c>
      <c r="L3" s="56"/>
      <c r="M3" s="57"/>
      <c r="N3" s="54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49"/>
      <c r="B4" s="49"/>
      <c r="C4" s="50"/>
      <c r="D4" s="51"/>
      <c r="E4" s="49"/>
      <c r="F4" s="49"/>
      <c r="G4" s="49"/>
      <c r="H4" s="6" t="s">
        <v>14</v>
      </c>
      <c r="I4" s="6" t="s">
        <v>15</v>
      </c>
      <c r="J4" s="6" t="s">
        <v>106</v>
      </c>
      <c r="K4" s="6" t="s">
        <v>14</v>
      </c>
      <c r="L4" s="6" t="s">
        <v>15</v>
      </c>
      <c r="M4" s="6" t="s">
        <v>106</v>
      </c>
      <c r="N4" s="6" t="s">
        <v>14</v>
      </c>
      <c r="O4" s="6" t="s">
        <v>15</v>
      </c>
      <c r="P4" s="6" t="s">
        <v>106</v>
      </c>
      <c r="Q4" s="6" t="s">
        <v>14</v>
      </c>
      <c r="R4" s="6" t="s">
        <v>15</v>
      </c>
      <c r="S4" s="6" t="s">
        <v>106</v>
      </c>
      <c r="T4" s="49"/>
      <c r="U4" s="49"/>
    </row>
    <row r="5" spans="1:21" s="2" customFormat="1" ht="23.25" customHeight="1">
      <c r="A5" s="5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7" t="s">
        <v>21</v>
      </c>
      <c r="H5" s="22" t="e">
        <f>H6*0.8+H7*0.2</f>
        <v>#REF!</v>
      </c>
      <c r="I5" s="22" t="e">
        <f>I6*0.8+I7*0.2</f>
        <v>#REF!</v>
      </c>
      <c r="J5" s="29"/>
      <c r="K5" s="55"/>
      <c r="L5" s="30"/>
      <c r="M5" s="29"/>
      <c r="N5" s="30"/>
      <c r="O5" s="30"/>
      <c r="P5" s="29"/>
      <c r="Q5" s="55"/>
      <c r="R5" s="30"/>
      <c r="S5" s="29"/>
      <c r="T5" s="22" t="e">
        <f>AVERAGE(H5,K5,N5,Q5)</f>
        <v>#REF!</v>
      </c>
      <c r="U5" s="22" t="e">
        <f>AVERAGE(I5,L5,O5,R5)</f>
        <v>#REF!</v>
      </c>
    </row>
    <row r="6" spans="1:21" s="3" customFormat="1" ht="25.5">
      <c r="A6" s="53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 t="e">
        <f>#REF!+110</f>
        <v>#REF!</v>
      </c>
      <c r="I6" s="23" t="e">
        <f>(H6+27)*1.015</f>
        <v>#REF!</v>
      </c>
      <c r="J6" s="31"/>
      <c r="K6" s="58"/>
      <c r="L6" s="23"/>
      <c r="M6" s="34"/>
      <c r="N6" s="23"/>
      <c r="O6" s="23"/>
      <c r="P6" s="34"/>
      <c r="Q6" s="58"/>
      <c r="R6" s="23"/>
      <c r="S6" s="34"/>
      <c r="T6" s="30" t="e">
        <f aca="true" t="shared" si="0" ref="T6:T28">AVERAGE(H6,K6,N6,Q6)</f>
        <v>#REF!</v>
      </c>
      <c r="U6" s="30" t="e">
        <f aca="true" t="shared" si="1" ref="U6:U31">AVERAGE(I6,L6,O6,R6)</f>
        <v>#REF!</v>
      </c>
    </row>
    <row r="7" spans="1:21" ht="14.25">
      <c r="A7" s="53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23" t="e">
        <f>#REF!+110</f>
        <v>#REF!</v>
      </c>
      <c r="I7" s="23" t="e">
        <f>(H7+27)*1.015</f>
        <v>#REF!</v>
      </c>
      <c r="J7" s="32" t="s">
        <v>89</v>
      </c>
      <c r="K7" s="58"/>
      <c r="L7" s="23"/>
      <c r="M7" s="34"/>
      <c r="N7" s="23"/>
      <c r="O7" s="23"/>
      <c r="P7" s="34"/>
      <c r="Q7" s="58"/>
      <c r="R7" s="23"/>
      <c r="S7" s="34"/>
      <c r="T7" s="30" t="e">
        <f t="shared" si="0"/>
        <v>#REF!</v>
      </c>
      <c r="U7" s="30" t="e">
        <f t="shared" si="1"/>
        <v>#REF!</v>
      </c>
    </row>
    <row r="8" spans="1:21" s="2" customFormat="1" ht="36" customHeight="1">
      <c r="A8" s="5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22" t="e">
        <f>0.03*H9+0.38*H10+0.27*H11+0.32*H12</f>
        <v>#REF!</v>
      </c>
      <c r="I8" s="22" t="e">
        <f>0.03*I9+0.38*I10+0.27*I11+0.32*I12</f>
        <v>#REF!</v>
      </c>
      <c r="J8" s="33"/>
      <c r="K8" s="55"/>
      <c r="L8" s="30"/>
      <c r="M8" s="29"/>
      <c r="N8" s="23"/>
      <c r="O8" s="30"/>
      <c r="P8" s="34"/>
      <c r="Q8" s="55"/>
      <c r="R8" s="30"/>
      <c r="S8" s="29"/>
      <c r="T8" s="22" t="e">
        <f t="shared" si="0"/>
        <v>#REF!</v>
      </c>
      <c r="U8" s="22" t="e">
        <f t="shared" si="1"/>
        <v>#REF!</v>
      </c>
    </row>
    <row r="9" spans="1:21" ht="14.25">
      <c r="A9" s="53">
        <v>5</v>
      </c>
      <c r="B9" s="9"/>
      <c r="C9" s="9"/>
      <c r="D9" s="12" t="s">
        <v>29</v>
      </c>
      <c r="E9" s="9"/>
      <c r="F9" s="10" t="s">
        <v>30</v>
      </c>
      <c r="G9" s="9" t="s">
        <v>21</v>
      </c>
      <c r="H9" s="23" t="e">
        <f>#REF!+110</f>
        <v>#REF!</v>
      </c>
      <c r="I9" s="23" t="e">
        <f>(H9+27)*1.015</f>
        <v>#REF!</v>
      </c>
      <c r="J9" s="32" t="s">
        <v>90</v>
      </c>
      <c r="K9" s="58"/>
      <c r="L9" s="23"/>
      <c r="M9" s="34"/>
      <c r="N9" s="23"/>
      <c r="O9" s="23"/>
      <c r="P9" s="34"/>
      <c r="Q9" s="58"/>
      <c r="R9" s="23"/>
      <c r="S9" s="34"/>
      <c r="T9" s="30" t="e">
        <f t="shared" si="0"/>
        <v>#REF!</v>
      </c>
      <c r="U9" s="30" t="e">
        <f t="shared" si="1"/>
        <v>#REF!</v>
      </c>
    </row>
    <row r="10" spans="1:21" ht="14.25">
      <c r="A10" s="53">
        <v>6</v>
      </c>
      <c r="B10" s="9"/>
      <c r="C10" s="9"/>
      <c r="D10" s="12" t="s">
        <v>29</v>
      </c>
      <c r="E10" s="9"/>
      <c r="F10" s="10" t="s">
        <v>31</v>
      </c>
      <c r="G10" s="9" t="s">
        <v>21</v>
      </c>
      <c r="H10" s="23" t="e">
        <f>#REF!+110</f>
        <v>#REF!</v>
      </c>
      <c r="I10" s="23" t="e">
        <f aca="true" t="shared" si="2" ref="I10:I23">(H10+27)*1.015</f>
        <v>#REF!</v>
      </c>
      <c r="J10" s="32" t="s">
        <v>90</v>
      </c>
      <c r="K10" s="58"/>
      <c r="L10" s="23"/>
      <c r="M10" s="34"/>
      <c r="N10" s="23"/>
      <c r="O10" s="23"/>
      <c r="P10" s="34"/>
      <c r="Q10" s="58"/>
      <c r="R10" s="23"/>
      <c r="S10" s="34"/>
      <c r="T10" s="30" t="e">
        <f t="shared" si="0"/>
        <v>#REF!</v>
      </c>
      <c r="U10" s="30" t="e">
        <f t="shared" si="1"/>
        <v>#REF!</v>
      </c>
    </row>
    <row r="11" spans="1:21" ht="14.25">
      <c r="A11" s="53">
        <v>7</v>
      </c>
      <c r="B11" s="9"/>
      <c r="C11" s="9"/>
      <c r="D11" s="12" t="s">
        <v>29</v>
      </c>
      <c r="E11" s="9"/>
      <c r="F11" s="10" t="s">
        <v>32</v>
      </c>
      <c r="G11" s="9" t="s">
        <v>21</v>
      </c>
      <c r="H11" s="23" t="e">
        <f>#REF!+110</f>
        <v>#REF!</v>
      </c>
      <c r="I11" s="23" t="e">
        <f t="shared" si="2"/>
        <v>#REF!</v>
      </c>
      <c r="J11" s="32" t="s">
        <v>90</v>
      </c>
      <c r="K11" s="58"/>
      <c r="L11" s="23"/>
      <c r="M11" s="34"/>
      <c r="N11" s="23"/>
      <c r="O11" s="23"/>
      <c r="P11" s="34"/>
      <c r="Q11" s="58"/>
      <c r="R11" s="23"/>
      <c r="S11" s="34"/>
      <c r="T11" s="30" t="e">
        <f t="shared" si="0"/>
        <v>#REF!</v>
      </c>
      <c r="U11" s="30" t="e">
        <f t="shared" si="1"/>
        <v>#REF!</v>
      </c>
    </row>
    <row r="12" spans="1:21" ht="14.25">
      <c r="A12" s="53">
        <v>8</v>
      </c>
      <c r="B12" s="9"/>
      <c r="C12" s="9"/>
      <c r="D12" s="12" t="s">
        <v>29</v>
      </c>
      <c r="E12" s="9"/>
      <c r="F12" s="10" t="s">
        <v>33</v>
      </c>
      <c r="G12" s="9" t="s">
        <v>21</v>
      </c>
      <c r="H12" s="23" t="e">
        <f>#REF!+110</f>
        <v>#REF!</v>
      </c>
      <c r="I12" s="23" t="e">
        <f t="shared" si="2"/>
        <v>#REF!</v>
      </c>
      <c r="J12" s="32" t="s">
        <v>90</v>
      </c>
      <c r="K12" s="58"/>
      <c r="L12" s="23"/>
      <c r="M12" s="34"/>
      <c r="N12" s="23"/>
      <c r="O12" s="23"/>
      <c r="P12" s="34"/>
      <c r="Q12" s="58"/>
      <c r="R12" s="23"/>
      <c r="S12" s="34"/>
      <c r="T12" s="30" t="e">
        <f t="shared" si="0"/>
        <v>#REF!</v>
      </c>
      <c r="U12" s="30" t="e">
        <f t="shared" si="1"/>
        <v>#REF!</v>
      </c>
    </row>
    <row r="13" spans="1:21" s="2" customFormat="1" ht="24" customHeight="1">
      <c r="A13" s="5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24" t="e">
        <f>0.27*H14+0.67*H15+0.06*H16</f>
        <v>#REF!</v>
      </c>
      <c r="I13" s="24" t="e">
        <f>0.27*I14+0.67*I15+0.06*I16</f>
        <v>#REF!</v>
      </c>
      <c r="J13" s="33"/>
      <c r="K13" s="23"/>
      <c r="L13" s="23"/>
      <c r="M13" s="23"/>
      <c r="N13" s="23"/>
      <c r="O13" s="23"/>
      <c r="P13" s="23"/>
      <c r="Q13" s="23"/>
      <c r="R13" s="23"/>
      <c r="S13" s="23"/>
      <c r="T13" s="22" t="e">
        <f t="shared" si="0"/>
        <v>#REF!</v>
      </c>
      <c r="U13" s="22" t="e">
        <f t="shared" si="1"/>
        <v>#REF!</v>
      </c>
    </row>
    <row r="14" spans="1:21" ht="14.25">
      <c r="A14" s="53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23" t="e">
        <f>#REF!+110</f>
        <v>#REF!</v>
      </c>
      <c r="I14" s="23" t="e">
        <f t="shared" si="2"/>
        <v>#REF!</v>
      </c>
      <c r="J14" s="32" t="s">
        <v>91</v>
      </c>
      <c r="K14" s="58"/>
      <c r="L14" s="23"/>
      <c r="M14" s="34"/>
      <c r="N14" s="23"/>
      <c r="O14" s="23"/>
      <c r="P14" s="34"/>
      <c r="Q14" s="58"/>
      <c r="R14" s="23"/>
      <c r="S14" s="34"/>
      <c r="T14" s="30" t="e">
        <f t="shared" si="0"/>
        <v>#REF!</v>
      </c>
      <c r="U14" s="30" t="e">
        <f t="shared" si="1"/>
        <v>#REF!</v>
      </c>
    </row>
    <row r="15" spans="1:21" ht="14.25">
      <c r="A15" s="53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23" t="e">
        <f>#REF!+110</f>
        <v>#REF!</v>
      </c>
      <c r="I15" s="23" t="e">
        <f t="shared" si="2"/>
        <v>#REF!</v>
      </c>
      <c r="J15" s="32" t="s">
        <v>92</v>
      </c>
      <c r="K15" s="58"/>
      <c r="L15" s="23"/>
      <c r="M15" s="34"/>
      <c r="N15" s="23"/>
      <c r="O15" s="23"/>
      <c r="P15" s="34"/>
      <c r="Q15" s="58"/>
      <c r="R15" s="23"/>
      <c r="S15" s="34"/>
      <c r="T15" s="30" t="e">
        <f t="shared" si="0"/>
        <v>#REF!</v>
      </c>
      <c r="U15" s="30" t="e">
        <f t="shared" si="1"/>
        <v>#REF!</v>
      </c>
    </row>
    <row r="16" spans="1:21" ht="14.25">
      <c r="A16" s="53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23" t="e">
        <f>#REF!+110</f>
        <v>#REF!</v>
      </c>
      <c r="I16" s="23" t="e">
        <f t="shared" si="2"/>
        <v>#REF!</v>
      </c>
      <c r="J16" s="32" t="s">
        <v>91</v>
      </c>
      <c r="K16" s="58"/>
      <c r="L16" s="23"/>
      <c r="M16" s="34"/>
      <c r="N16" s="23"/>
      <c r="O16" s="23"/>
      <c r="P16" s="34"/>
      <c r="Q16" s="58"/>
      <c r="R16" s="23"/>
      <c r="S16" s="34"/>
      <c r="T16" s="30" t="e">
        <f t="shared" si="0"/>
        <v>#REF!</v>
      </c>
      <c r="U16" s="30" t="e">
        <f t="shared" si="1"/>
        <v>#REF!</v>
      </c>
    </row>
    <row r="17" spans="1:21" ht="14.25" customHeight="1">
      <c r="A17" s="53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23" t="e">
        <f>#REF!+110</f>
        <v>#REF!</v>
      </c>
      <c r="I17" s="23" t="e">
        <f t="shared" si="2"/>
        <v>#REF!</v>
      </c>
      <c r="J17" s="32" t="s">
        <v>91</v>
      </c>
      <c r="K17" s="58"/>
      <c r="L17" s="23"/>
      <c r="M17" s="34"/>
      <c r="N17" s="23"/>
      <c r="O17" s="23"/>
      <c r="P17" s="34"/>
      <c r="Q17" s="58"/>
      <c r="R17" s="23"/>
      <c r="S17" s="34"/>
      <c r="T17" s="30" t="e">
        <f t="shared" si="0"/>
        <v>#REF!</v>
      </c>
      <c r="U17" s="30" t="e">
        <f t="shared" si="1"/>
        <v>#REF!</v>
      </c>
    </row>
    <row r="18" spans="1:21" s="2" customFormat="1" ht="24" customHeight="1">
      <c r="A18" s="5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24" t="e">
        <f>0.6*H19+0.2*H20+0.2*H21</f>
        <v>#REF!</v>
      </c>
      <c r="I18" s="24" t="e">
        <f>0.6*I19+0.2*I20+0.2*I21</f>
        <v>#REF!</v>
      </c>
      <c r="J18" s="33"/>
      <c r="K18" s="55"/>
      <c r="L18" s="24"/>
      <c r="M18" s="29"/>
      <c r="N18" s="24"/>
      <c r="O18" s="24"/>
      <c r="P18" s="24"/>
      <c r="Q18" s="24"/>
      <c r="R18" s="24"/>
      <c r="S18" s="29"/>
      <c r="T18" s="22" t="e">
        <f t="shared" si="0"/>
        <v>#REF!</v>
      </c>
      <c r="U18" s="22" t="e">
        <f t="shared" si="1"/>
        <v>#REF!</v>
      </c>
    </row>
    <row r="19" spans="1:21" ht="14.25">
      <c r="A19" s="53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23" t="e">
        <f>#REF!+110</f>
        <v>#REF!</v>
      </c>
      <c r="I19" s="23" t="e">
        <f t="shared" si="2"/>
        <v>#REF!</v>
      </c>
      <c r="J19" s="32" t="s">
        <v>161</v>
      </c>
      <c r="K19" s="58"/>
      <c r="L19" s="23"/>
      <c r="M19" s="34"/>
      <c r="N19" s="23"/>
      <c r="O19" s="23"/>
      <c r="P19" s="34"/>
      <c r="Q19" s="58"/>
      <c r="R19" s="23"/>
      <c r="S19" s="34"/>
      <c r="T19" s="30" t="e">
        <f t="shared" si="0"/>
        <v>#REF!</v>
      </c>
      <c r="U19" s="30" t="e">
        <f t="shared" si="1"/>
        <v>#REF!</v>
      </c>
    </row>
    <row r="20" spans="1:21" ht="14.25">
      <c r="A20" s="53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23" t="e">
        <f>#REF!+110</f>
        <v>#REF!</v>
      </c>
      <c r="I20" s="23" t="e">
        <f t="shared" si="2"/>
        <v>#REF!</v>
      </c>
      <c r="J20" s="32" t="s">
        <v>161</v>
      </c>
      <c r="K20" s="58"/>
      <c r="L20" s="34"/>
      <c r="M20" s="34"/>
      <c r="N20" s="34"/>
      <c r="O20" s="34"/>
      <c r="P20" s="34"/>
      <c r="Q20" s="58"/>
      <c r="R20" s="34"/>
      <c r="S20" s="34"/>
      <c r="T20" s="30" t="e">
        <f t="shared" si="0"/>
        <v>#REF!</v>
      </c>
      <c r="U20" s="30" t="e">
        <f t="shared" si="1"/>
        <v>#REF!</v>
      </c>
    </row>
    <row r="21" spans="1:21" ht="14.25">
      <c r="A21" s="53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23" t="e">
        <f>#REF!+110</f>
        <v>#REF!</v>
      </c>
      <c r="I21" s="23" t="e">
        <f t="shared" si="2"/>
        <v>#REF!</v>
      </c>
      <c r="J21" s="32" t="s">
        <v>108</v>
      </c>
      <c r="K21" s="58"/>
      <c r="L21" s="23"/>
      <c r="M21" s="34"/>
      <c r="N21" s="23"/>
      <c r="O21" s="23"/>
      <c r="P21" s="34"/>
      <c r="Q21" s="58"/>
      <c r="R21" s="23"/>
      <c r="S21" s="34"/>
      <c r="T21" s="30" t="e">
        <f t="shared" si="0"/>
        <v>#REF!</v>
      </c>
      <c r="U21" s="30" t="e">
        <f t="shared" si="1"/>
        <v>#REF!</v>
      </c>
    </row>
    <row r="22" spans="1:21" ht="14.25" customHeight="1">
      <c r="A22" s="53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 t="e">
        <f>#REF!+110</f>
        <v>#REF!</v>
      </c>
      <c r="I22" s="23" t="e">
        <f t="shared" si="2"/>
        <v>#REF!</v>
      </c>
      <c r="J22" s="32"/>
      <c r="K22" s="58"/>
      <c r="L22" s="23"/>
      <c r="M22" s="34"/>
      <c r="N22" s="23"/>
      <c r="O22" s="23"/>
      <c r="P22" s="34"/>
      <c r="Q22" s="58"/>
      <c r="R22" s="23"/>
      <c r="S22" s="34"/>
      <c r="T22" s="30" t="e">
        <f t="shared" si="0"/>
        <v>#REF!</v>
      </c>
      <c r="U22" s="30" t="e">
        <f t="shared" si="1"/>
        <v>#REF!</v>
      </c>
    </row>
    <row r="23" spans="1:21" ht="14.25" customHeight="1">
      <c r="A23" s="53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 t="e">
        <f>#REF!+110</f>
        <v>#REF!</v>
      </c>
      <c r="I23" s="23" t="e">
        <f t="shared" si="2"/>
        <v>#REF!</v>
      </c>
      <c r="J23" s="35"/>
      <c r="K23" s="58"/>
      <c r="L23" s="23"/>
      <c r="M23" s="34"/>
      <c r="N23" s="23"/>
      <c r="O23" s="23"/>
      <c r="P23" s="34"/>
      <c r="Q23" s="58"/>
      <c r="R23" s="23"/>
      <c r="S23" s="34"/>
      <c r="T23" s="30" t="e">
        <f t="shared" si="0"/>
        <v>#REF!</v>
      </c>
      <c r="U23" s="30" t="e">
        <f t="shared" si="1"/>
        <v>#REF!</v>
      </c>
    </row>
    <row r="24" spans="1:21" s="2" customFormat="1" ht="24" customHeight="1">
      <c r="A24" s="52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55">
        <f>0.75*H26+0.25*H28</f>
        <v>307.0267765692826</v>
      </c>
      <c r="I24" s="55">
        <f>0.75*I26+0.25*I28</f>
        <v>325</v>
      </c>
      <c r="J24" s="36"/>
      <c r="K24" s="55">
        <f>0.75*K26+0.25*K28</f>
        <v>315.5621128615325</v>
      </c>
      <c r="L24" s="55">
        <f>0.75*L26+0.25*L28</f>
        <v>333.75</v>
      </c>
      <c r="M24" s="29"/>
      <c r="N24" s="55">
        <f>0.75*N26+0.25*N28</f>
        <v>326.5361166658538</v>
      </c>
      <c r="O24" s="55">
        <f>0.75*O26+0.25*O28</f>
        <v>345</v>
      </c>
      <c r="P24" s="29"/>
      <c r="Q24" s="55">
        <f>0.75*Q26+0.25*Q28</f>
        <v>338.7294542262108</v>
      </c>
      <c r="R24" s="55">
        <f>0.75*R26+0.25*R28</f>
        <v>357.5</v>
      </c>
      <c r="S24" s="29"/>
      <c r="T24" s="22">
        <f t="shared" si="0"/>
        <v>321.96361508071993</v>
      </c>
      <c r="U24" s="22">
        <f t="shared" si="1"/>
        <v>340.3125</v>
      </c>
    </row>
    <row r="25" spans="1:21" ht="14.25" customHeight="1">
      <c r="A25" s="53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23">
        <f>(I25/1.01/1.015)-10</f>
        <v>311.9041115934254</v>
      </c>
      <c r="I25" s="37">
        <v>330</v>
      </c>
      <c r="J25" s="23"/>
      <c r="K25" s="23">
        <f>(L25/1.01/1.015)-10</f>
        <v>316.7814466175682</v>
      </c>
      <c r="L25" s="37">
        <v>335</v>
      </c>
      <c r="M25" s="23"/>
      <c r="N25" s="23">
        <f>(O25/1.01/1.015)-10</f>
        <v>321.658781641711</v>
      </c>
      <c r="O25" s="37">
        <v>340</v>
      </c>
      <c r="P25" s="23"/>
      <c r="Q25" s="23">
        <f>(R25/1.01/1.015)-10</f>
        <v>341.16812173828225</v>
      </c>
      <c r="R25" s="41">
        <v>360</v>
      </c>
      <c r="S25" s="34"/>
      <c r="T25" s="30">
        <f t="shared" si="0"/>
        <v>322.8781153977467</v>
      </c>
      <c r="U25" s="30">
        <f t="shared" si="1"/>
        <v>341.25</v>
      </c>
    </row>
    <row r="26" spans="1:21" ht="14.25" customHeight="1">
      <c r="A26" s="53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23">
        <f>(I26/1.01/1.015)-10</f>
        <v>297.272106520997</v>
      </c>
      <c r="I26" s="37">
        <v>315</v>
      </c>
      <c r="J26" s="23"/>
      <c r="K26" s="23">
        <f>(L26/1.01/1.015)-10</f>
        <v>302.1494415451398</v>
      </c>
      <c r="L26" s="37">
        <v>320</v>
      </c>
      <c r="M26" s="23"/>
      <c r="N26" s="23">
        <f>(O26/1.01/1.015)-10</f>
        <v>302.1494415451398</v>
      </c>
      <c r="O26" s="37">
        <v>320</v>
      </c>
      <c r="P26" s="23"/>
      <c r="Q26" s="23">
        <f>(R26/1.01/1.015)-10</f>
        <v>326.5361166658538</v>
      </c>
      <c r="R26" s="41">
        <v>345</v>
      </c>
      <c r="S26" s="34"/>
      <c r="T26" s="30">
        <f t="shared" si="0"/>
        <v>307.02677656928256</v>
      </c>
      <c r="U26" s="30">
        <f t="shared" si="1"/>
        <v>325</v>
      </c>
    </row>
    <row r="27" spans="1:21" ht="14.25" customHeight="1">
      <c r="A27" s="53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23">
        <f>(I27/1.01/1.015)-10</f>
        <v>350.92279178656787</v>
      </c>
      <c r="I27" s="37">
        <v>370</v>
      </c>
      <c r="J27" s="23"/>
      <c r="K27" s="23">
        <f>(L27/1.01/1.015)-10</f>
        <v>370.4321318831391</v>
      </c>
      <c r="L27" s="37">
        <v>390</v>
      </c>
      <c r="M27" s="23"/>
      <c r="N27" s="23">
        <f>(O27/1.01/1.015)-10</f>
        <v>419.2054821245672</v>
      </c>
      <c r="O27" s="37">
        <v>440</v>
      </c>
      <c r="P27" s="23"/>
      <c r="Q27" s="23">
        <f>(R27/1.01/1.015)-10</f>
        <v>389.94147197971034</v>
      </c>
      <c r="R27" s="41">
        <v>410</v>
      </c>
      <c r="S27" s="34"/>
      <c r="T27" s="30">
        <f t="shared" si="0"/>
        <v>382.6254694434961</v>
      </c>
      <c r="U27" s="30">
        <f t="shared" si="1"/>
        <v>402.5</v>
      </c>
    </row>
    <row r="28" spans="1:21" ht="14.25" customHeight="1">
      <c r="A28" s="53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23">
        <f>(I28/1.01/1.015)-10</f>
        <v>336.2907867141394</v>
      </c>
      <c r="I28" s="37">
        <v>355</v>
      </c>
      <c r="J28" s="23"/>
      <c r="K28" s="23">
        <f>(L28/1.01/1.015)-10</f>
        <v>355.80012681071065</v>
      </c>
      <c r="L28" s="37">
        <v>375</v>
      </c>
      <c r="M28" s="23"/>
      <c r="N28" s="23">
        <f>(O28/1.01/1.015)-10</f>
        <v>399.69614202799596</v>
      </c>
      <c r="O28" s="37">
        <v>420</v>
      </c>
      <c r="P28" s="23"/>
      <c r="Q28" s="23">
        <f>(R28/1.01/1.015)-10</f>
        <v>375.3094669072819</v>
      </c>
      <c r="R28" s="41">
        <v>395</v>
      </c>
      <c r="S28" s="34"/>
      <c r="T28" s="30">
        <f t="shared" si="0"/>
        <v>366.774130615032</v>
      </c>
      <c r="U28" s="30">
        <f t="shared" si="1"/>
        <v>386.25</v>
      </c>
    </row>
    <row r="29" spans="1:21" ht="14.25" customHeight="1" hidden="1">
      <c r="A29" s="9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28"/>
      <c r="I29" s="38">
        <v>6.3</v>
      </c>
      <c r="J29" s="26"/>
      <c r="K29" s="28"/>
      <c r="L29" s="38">
        <v>6.3</v>
      </c>
      <c r="M29" s="26"/>
      <c r="N29" s="28"/>
      <c r="O29" s="38">
        <v>6.3</v>
      </c>
      <c r="P29" s="26"/>
      <c r="Q29" s="28"/>
      <c r="R29" s="38">
        <v>6.3</v>
      </c>
      <c r="S29" s="26"/>
      <c r="T29" s="42"/>
      <c r="U29" s="42">
        <f t="shared" si="1"/>
        <v>6.3</v>
      </c>
    </row>
    <row r="30" spans="1:21" ht="14.25" customHeight="1" hidden="1">
      <c r="A30" s="9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28"/>
      <c r="I30" s="38">
        <v>6.75</v>
      </c>
      <c r="J30" s="26"/>
      <c r="K30" s="28"/>
      <c r="L30" s="38">
        <v>6.75</v>
      </c>
      <c r="M30" s="26"/>
      <c r="N30" s="28"/>
      <c r="O30" s="38">
        <v>6.75</v>
      </c>
      <c r="P30" s="26"/>
      <c r="Q30" s="28"/>
      <c r="R30" s="38">
        <v>6.75</v>
      </c>
      <c r="S30" s="26"/>
      <c r="T30" s="42"/>
      <c r="U30" s="42">
        <f t="shared" si="1"/>
        <v>6.75</v>
      </c>
    </row>
    <row r="31" spans="1:21" ht="14.25" customHeight="1" hidden="1">
      <c r="A31" s="9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28"/>
      <c r="I31" s="38">
        <v>5.73</v>
      </c>
      <c r="J31" s="26"/>
      <c r="K31" s="28"/>
      <c r="L31" s="38">
        <v>5.73</v>
      </c>
      <c r="M31" s="26"/>
      <c r="N31" s="28"/>
      <c r="O31" s="38">
        <v>5.73</v>
      </c>
      <c r="P31" s="26"/>
      <c r="Q31" s="28"/>
      <c r="R31" s="38">
        <v>5.73</v>
      </c>
      <c r="S31" s="26"/>
      <c r="T31" s="42"/>
      <c r="U31" s="42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19"/>
      <c r="H2" s="19"/>
      <c r="I2" s="19"/>
      <c r="J2" s="5"/>
      <c r="K2" s="5"/>
      <c r="L2" s="5"/>
      <c r="M2" s="5"/>
      <c r="N2" s="39"/>
      <c r="O2" s="39"/>
      <c r="P2" s="39"/>
      <c r="Q2" s="40"/>
      <c r="R2" s="40"/>
    </row>
    <row r="3" spans="1:22" ht="14.25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G3" s="6" t="s">
        <v>7</v>
      </c>
      <c r="H3" s="20" t="s">
        <v>282</v>
      </c>
      <c r="I3" s="9"/>
      <c r="J3" s="9"/>
      <c r="K3" s="20" t="s">
        <v>283</v>
      </c>
      <c r="L3" s="9"/>
      <c r="M3" s="9"/>
      <c r="N3" s="20" t="s">
        <v>284</v>
      </c>
      <c r="O3" s="9"/>
      <c r="P3" s="9"/>
      <c r="Q3" s="6" t="s">
        <v>285</v>
      </c>
      <c r="R3" s="9"/>
      <c r="S3" s="9"/>
      <c r="T3" s="6" t="s">
        <v>77</v>
      </c>
      <c r="U3" s="6" t="s">
        <v>78</v>
      </c>
      <c r="V3" s="43" t="s">
        <v>80</v>
      </c>
    </row>
    <row r="4" spans="1:22" ht="25.5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 t="s">
        <v>106</v>
      </c>
      <c r="K4" s="6" t="s">
        <v>14</v>
      </c>
      <c r="L4" s="6" t="s">
        <v>15</v>
      </c>
      <c r="M4" s="6" t="s">
        <v>106</v>
      </c>
      <c r="N4" s="6" t="s">
        <v>14</v>
      </c>
      <c r="O4" s="6" t="s">
        <v>15</v>
      </c>
      <c r="P4" s="6" t="s">
        <v>106</v>
      </c>
      <c r="Q4" s="6" t="s">
        <v>14</v>
      </c>
      <c r="R4" s="6" t="s">
        <v>15</v>
      </c>
      <c r="S4" s="6" t="s">
        <v>106</v>
      </c>
      <c r="T4" s="6"/>
      <c r="U4" s="6"/>
      <c r="V4" s="43"/>
    </row>
    <row r="5" spans="1:22" s="2" customFormat="1" ht="23.25" customHeight="1">
      <c r="A5" s="7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7" t="s">
        <v>21</v>
      </c>
      <c r="H5" s="22" t="e">
        <f>H6*0.8+H7*0.2</f>
        <v>#REF!</v>
      </c>
      <c r="I5" s="22" t="e">
        <f>I6*0.8+I7*0.2</f>
        <v>#REF!</v>
      </c>
      <c r="J5" s="29"/>
      <c r="K5" s="22"/>
      <c r="L5" s="30"/>
      <c r="M5" s="29"/>
      <c r="N5" s="30"/>
      <c r="O5" s="30"/>
      <c r="P5" s="29"/>
      <c r="Q5" s="22"/>
      <c r="R5" s="30"/>
      <c r="S5" s="29"/>
      <c r="T5" s="22" t="e">
        <f>AVERAGE(H5,K5,N5,Q5)</f>
        <v>#REF!</v>
      </c>
      <c r="U5" s="22" t="e">
        <f>AVERAGE(I5,L5,O5,R5)</f>
        <v>#REF!</v>
      </c>
      <c r="V5" s="44">
        <v>17</v>
      </c>
    </row>
    <row r="6" spans="1:22" s="3" customFormat="1" ht="25.5">
      <c r="A6" s="9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 t="e">
        <f>#REF!+110</f>
        <v>#REF!</v>
      </c>
      <c r="I6" s="23" t="e">
        <f>(H6+27)*1.015</f>
        <v>#REF!</v>
      </c>
      <c r="J6" s="31"/>
      <c r="K6" s="30"/>
      <c r="L6" s="23"/>
      <c r="M6" s="34"/>
      <c r="N6" s="23"/>
      <c r="O6" s="23"/>
      <c r="P6" s="34"/>
      <c r="Q6" s="30"/>
      <c r="R6" s="23"/>
      <c r="S6" s="34"/>
      <c r="T6" s="30" t="e">
        <f aca="true" t="shared" si="0" ref="T6:U28">AVERAGE(H6,K6,N6,Q6)</f>
        <v>#REF!</v>
      </c>
      <c r="U6" s="30" t="e">
        <f t="shared" si="0"/>
        <v>#REF!</v>
      </c>
      <c r="V6" s="45">
        <v>17</v>
      </c>
    </row>
    <row r="7" spans="1:22" ht="14.25">
      <c r="A7" s="9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23" t="e">
        <f>#REF!+110</f>
        <v>#REF!</v>
      </c>
      <c r="I7" s="23" t="e">
        <f>(H7+27)*1.015</f>
        <v>#REF!</v>
      </c>
      <c r="J7" s="32" t="s">
        <v>89</v>
      </c>
      <c r="K7" s="30"/>
      <c r="L7" s="23"/>
      <c r="M7" s="34"/>
      <c r="N7" s="23"/>
      <c r="O7" s="23"/>
      <c r="P7" s="34"/>
      <c r="Q7" s="30"/>
      <c r="R7" s="23"/>
      <c r="S7" s="34"/>
      <c r="T7" s="30" t="e">
        <f t="shared" si="0"/>
        <v>#REF!</v>
      </c>
      <c r="U7" s="30" t="e">
        <f t="shared" si="0"/>
        <v>#REF!</v>
      </c>
      <c r="V7" s="45">
        <v>17</v>
      </c>
    </row>
    <row r="8" spans="1:22" s="2" customFormat="1" ht="36" customHeight="1">
      <c r="A8" s="7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22" t="e">
        <f>0.03*H9+0.38*H10+0.27*H11+0.32*H12</f>
        <v>#REF!</v>
      </c>
      <c r="I8" s="22" t="e">
        <f>0.03*I9+0.38*I10+0.27*I11+0.32*I12</f>
        <v>#REF!</v>
      </c>
      <c r="J8" s="33"/>
      <c r="K8" s="22"/>
      <c r="L8" s="30"/>
      <c r="M8" s="29"/>
      <c r="N8" s="23"/>
      <c r="O8" s="30"/>
      <c r="P8" s="34"/>
      <c r="Q8" s="22"/>
      <c r="R8" s="30"/>
      <c r="S8" s="29"/>
      <c r="T8" s="22" t="e">
        <f t="shared" si="0"/>
        <v>#REF!</v>
      </c>
      <c r="U8" s="22" t="e">
        <f t="shared" si="0"/>
        <v>#REF!</v>
      </c>
      <c r="V8" s="44">
        <v>17</v>
      </c>
    </row>
    <row r="9" spans="1:22" ht="14.25">
      <c r="A9" s="9">
        <v>5</v>
      </c>
      <c r="B9" s="9"/>
      <c r="C9" s="9"/>
      <c r="D9" s="12" t="s">
        <v>29</v>
      </c>
      <c r="E9" s="9"/>
      <c r="F9" s="10" t="s">
        <v>30</v>
      </c>
      <c r="G9" s="9" t="s">
        <v>21</v>
      </c>
      <c r="H9" s="23" t="e">
        <f>#REF!+110</f>
        <v>#REF!</v>
      </c>
      <c r="I9" s="23" t="e">
        <f>(H9+27)*1.015</f>
        <v>#REF!</v>
      </c>
      <c r="J9" s="32" t="s">
        <v>90</v>
      </c>
      <c r="K9" s="30"/>
      <c r="L9" s="23"/>
      <c r="M9" s="34"/>
      <c r="N9" s="23"/>
      <c r="O9" s="23"/>
      <c r="P9" s="34"/>
      <c r="Q9" s="30"/>
      <c r="R9" s="23"/>
      <c r="S9" s="34"/>
      <c r="T9" s="30" t="e">
        <f t="shared" si="0"/>
        <v>#REF!</v>
      </c>
      <c r="U9" s="30" t="e">
        <f t="shared" si="0"/>
        <v>#REF!</v>
      </c>
      <c r="V9" s="45">
        <v>17</v>
      </c>
    </row>
    <row r="10" spans="1:22" ht="14.25">
      <c r="A10" s="9">
        <v>6</v>
      </c>
      <c r="B10" s="9"/>
      <c r="C10" s="9"/>
      <c r="D10" s="12" t="s">
        <v>29</v>
      </c>
      <c r="E10" s="9"/>
      <c r="F10" s="10" t="s">
        <v>31</v>
      </c>
      <c r="G10" s="9" t="s">
        <v>21</v>
      </c>
      <c r="H10" s="23" t="e">
        <f>#REF!+110</f>
        <v>#REF!</v>
      </c>
      <c r="I10" s="23" t="e">
        <f aca="true" t="shared" si="1" ref="I10:I23">(H10+27)*1.015</f>
        <v>#REF!</v>
      </c>
      <c r="J10" s="32" t="s">
        <v>90</v>
      </c>
      <c r="K10" s="30"/>
      <c r="L10" s="23"/>
      <c r="M10" s="34"/>
      <c r="N10" s="23"/>
      <c r="O10" s="23"/>
      <c r="P10" s="34"/>
      <c r="Q10" s="30"/>
      <c r="R10" s="23"/>
      <c r="S10" s="34"/>
      <c r="T10" s="30" t="e">
        <f t="shared" si="0"/>
        <v>#REF!</v>
      </c>
      <c r="U10" s="30" t="e">
        <f t="shared" si="0"/>
        <v>#REF!</v>
      </c>
      <c r="V10" s="45">
        <v>17</v>
      </c>
    </row>
    <row r="11" spans="1:22" ht="14.25">
      <c r="A11" s="9">
        <v>7</v>
      </c>
      <c r="B11" s="9"/>
      <c r="C11" s="9"/>
      <c r="D11" s="12" t="s">
        <v>29</v>
      </c>
      <c r="E11" s="9"/>
      <c r="F11" s="10" t="s">
        <v>32</v>
      </c>
      <c r="G11" s="9" t="s">
        <v>21</v>
      </c>
      <c r="H11" s="23" t="e">
        <f>#REF!+110</f>
        <v>#REF!</v>
      </c>
      <c r="I11" s="23" t="e">
        <f t="shared" si="1"/>
        <v>#REF!</v>
      </c>
      <c r="J11" s="32" t="s">
        <v>90</v>
      </c>
      <c r="K11" s="30"/>
      <c r="L11" s="23"/>
      <c r="M11" s="34"/>
      <c r="N11" s="23"/>
      <c r="O11" s="23"/>
      <c r="P11" s="34"/>
      <c r="Q11" s="30"/>
      <c r="R11" s="23"/>
      <c r="S11" s="34"/>
      <c r="T11" s="30" t="e">
        <f t="shared" si="0"/>
        <v>#REF!</v>
      </c>
      <c r="U11" s="30" t="e">
        <f t="shared" si="0"/>
        <v>#REF!</v>
      </c>
      <c r="V11" s="45">
        <v>17</v>
      </c>
    </row>
    <row r="12" spans="1:22" ht="14.25">
      <c r="A12" s="9">
        <v>8</v>
      </c>
      <c r="B12" s="9"/>
      <c r="C12" s="9"/>
      <c r="D12" s="12" t="s">
        <v>29</v>
      </c>
      <c r="E12" s="9"/>
      <c r="F12" s="10" t="s">
        <v>33</v>
      </c>
      <c r="G12" s="9" t="s">
        <v>21</v>
      </c>
      <c r="H12" s="23" t="e">
        <f>#REF!+110</f>
        <v>#REF!</v>
      </c>
      <c r="I12" s="23" t="e">
        <f t="shared" si="1"/>
        <v>#REF!</v>
      </c>
      <c r="J12" s="32" t="s">
        <v>90</v>
      </c>
      <c r="K12" s="30"/>
      <c r="L12" s="23"/>
      <c r="M12" s="34"/>
      <c r="N12" s="23"/>
      <c r="O12" s="23"/>
      <c r="P12" s="34"/>
      <c r="Q12" s="30"/>
      <c r="R12" s="23"/>
      <c r="S12" s="34"/>
      <c r="T12" s="30" t="e">
        <f t="shared" si="0"/>
        <v>#REF!</v>
      </c>
      <c r="U12" s="30" t="e">
        <f t="shared" si="0"/>
        <v>#REF!</v>
      </c>
      <c r="V12" s="45">
        <v>17</v>
      </c>
    </row>
    <row r="13" spans="1:22" s="2" customFormat="1" ht="24" customHeight="1">
      <c r="A13" s="7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24" t="e">
        <f>0.27*H14+0.67*H15+0.06*H16</f>
        <v>#REF!</v>
      </c>
      <c r="I13" s="24" t="e">
        <f>0.27*I14+0.67*I15+0.06*I16</f>
        <v>#REF!</v>
      </c>
      <c r="J13" s="33"/>
      <c r="K13" s="23"/>
      <c r="L13" s="23"/>
      <c r="M13" s="23"/>
      <c r="N13" s="23"/>
      <c r="O13" s="23"/>
      <c r="P13" s="23"/>
      <c r="Q13" s="23"/>
      <c r="R13" s="23"/>
      <c r="S13" s="23"/>
      <c r="T13" s="22" t="e">
        <f t="shared" si="0"/>
        <v>#REF!</v>
      </c>
      <c r="U13" s="22" t="e">
        <f t="shared" si="0"/>
        <v>#REF!</v>
      </c>
      <c r="V13" s="45">
        <v>17</v>
      </c>
    </row>
    <row r="14" spans="1:22" ht="14.25">
      <c r="A14" s="9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23" t="e">
        <f>#REF!+110</f>
        <v>#REF!</v>
      </c>
      <c r="I14" s="23" t="e">
        <f t="shared" si="1"/>
        <v>#REF!</v>
      </c>
      <c r="J14" s="32" t="s">
        <v>91</v>
      </c>
      <c r="K14" s="30"/>
      <c r="L14" s="23"/>
      <c r="M14" s="34"/>
      <c r="N14" s="23"/>
      <c r="O14" s="23"/>
      <c r="P14" s="34"/>
      <c r="Q14" s="30"/>
      <c r="R14" s="23"/>
      <c r="S14" s="34"/>
      <c r="T14" s="30" t="e">
        <f t="shared" si="0"/>
        <v>#REF!</v>
      </c>
      <c r="U14" s="30" t="e">
        <f t="shared" si="0"/>
        <v>#REF!</v>
      </c>
      <c r="V14" s="45">
        <v>17</v>
      </c>
    </row>
    <row r="15" spans="1:22" ht="14.25">
      <c r="A15" s="9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23" t="e">
        <f>#REF!+110</f>
        <v>#REF!</v>
      </c>
      <c r="I15" s="23" t="e">
        <f t="shared" si="1"/>
        <v>#REF!</v>
      </c>
      <c r="J15" s="32" t="s">
        <v>92</v>
      </c>
      <c r="K15" s="30"/>
      <c r="L15" s="23"/>
      <c r="M15" s="34"/>
      <c r="N15" s="23"/>
      <c r="O15" s="23"/>
      <c r="P15" s="34"/>
      <c r="Q15" s="30"/>
      <c r="R15" s="23"/>
      <c r="S15" s="34"/>
      <c r="T15" s="30" t="e">
        <f t="shared" si="0"/>
        <v>#REF!</v>
      </c>
      <c r="U15" s="30" t="e">
        <f t="shared" si="0"/>
        <v>#REF!</v>
      </c>
      <c r="V15" s="45">
        <v>17</v>
      </c>
    </row>
    <row r="16" spans="1:22" ht="14.25">
      <c r="A16" s="9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23" t="e">
        <f>#REF!+110</f>
        <v>#REF!</v>
      </c>
      <c r="I16" s="23" t="e">
        <f t="shared" si="1"/>
        <v>#REF!</v>
      </c>
      <c r="J16" s="32" t="s">
        <v>91</v>
      </c>
      <c r="K16" s="30"/>
      <c r="L16" s="23"/>
      <c r="M16" s="34"/>
      <c r="N16" s="23"/>
      <c r="O16" s="23"/>
      <c r="P16" s="34"/>
      <c r="Q16" s="30"/>
      <c r="R16" s="23"/>
      <c r="S16" s="34"/>
      <c r="T16" s="30" t="e">
        <f t="shared" si="0"/>
        <v>#REF!</v>
      </c>
      <c r="U16" s="30" t="e">
        <f t="shared" si="0"/>
        <v>#REF!</v>
      </c>
      <c r="V16" s="45">
        <v>17</v>
      </c>
    </row>
    <row r="17" spans="1:22" ht="14.25" customHeight="1">
      <c r="A17" s="9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23" t="e">
        <f>#REF!+110</f>
        <v>#REF!</v>
      </c>
      <c r="I17" s="23" t="e">
        <f t="shared" si="1"/>
        <v>#REF!</v>
      </c>
      <c r="J17" s="32" t="s">
        <v>91</v>
      </c>
      <c r="K17" s="30"/>
      <c r="L17" s="23"/>
      <c r="M17" s="34"/>
      <c r="N17" s="23"/>
      <c r="O17" s="23"/>
      <c r="P17" s="34"/>
      <c r="Q17" s="30"/>
      <c r="R17" s="23"/>
      <c r="S17" s="34"/>
      <c r="T17" s="30" t="e">
        <f t="shared" si="0"/>
        <v>#REF!</v>
      </c>
      <c r="U17" s="30" t="e">
        <f t="shared" si="0"/>
        <v>#REF!</v>
      </c>
      <c r="V17" s="45">
        <v>17</v>
      </c>
    </row>
    <row r="18" spans="1:22" s="2" customFormat="1" ht="24" customHeight="1">
      <c r="A18" s="7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24" t="e">
        <f>0.6*H19+0.2*H20+0.2*H21</f>
        <v>#REF!</v>
      </c>
      <c r="I18" s="24" t="e">
        <f>0.6*I19+0.2*I20+0.2*I21</f>
        <v>#REF!</v>
      </c>
      <c r="J18" s="33"/>
      <c r="K18" s="22"/>
      <c r="L18" s="24"/>
      <c r="M18" s="29"/>
      <c r="N18" s="24"/>
      <c r="O18" s="24"/>
      <c r="P18" s="24"/>
      <c r="Q18" s="24"/>
      <c r="R18" s="24"/>
      <c r="S18" s="29"/>
      <c r="T18" s="22" t="e">
        <f t="shared" si="0"/>
        <v>#REF!</v>
      </c>
      <c r="U18" s="22" t="e">
        <f t="shared" si="0"/>
        <v>#REF!</v>
      </c>
      <c r="V18" s="45">
        <v>17</v>
      </c>
    </row>
    <row r="19" spans="1:22" ht="14.25">
      <c r="A19" s="9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23" t="e">
        <f>#REF!+110</f>
        <v>#REF!</v>
      </c>
      <c r="I19" s="23" t="e">
        <f t="shared" si="1"/>
        <v>#REF!</v>
      </c>
      <c r="J19" s="32" t="s">
        <v>161</v>
      </c>
      <c r="K19" s="30"/>
      <c r="L19" s="23"/>
      <c r="M19" s="34"/>
      <c r="N19" s="23"/>
      <c r="O19" s="23"/>
      <c r="P19" s="34"/>
      <c r="Q19" s="30"/>
      <c r="R19" s="23"/>
      <c r="S19" s="34"/>
      <c r="T19" s="30" t="e">
        <f t="shared" si="0"/>
        <v>#REF!</v>
      </c>
      <c r="U19" s="30" t="e">
        <f t="shared" si="0"/>
        <v>#REF!</v>
      </c>
      <c r="V19" s="45">
        <v>17</v>
      </c>
    </row>
    <row r="20" spans="1:22" ht="14.25">
      <c r="A20" s="9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23" t="e">
        <f>#REF!+110</f>
        <v>#REF!</v>
      </c>
      <c r="I20" s="23" t="e">
        <f t="shared" si="1"/>
        <v>#REF!</v>
      </c>
      <c r="J20" s="32" t="s">
        <v>161</v>
      </c>
      <c r="K20" s="30"/>
      <c r="L20" s="34"/>
      <c r="M20" s="34"/>
      <c r="N20" s="34"/>
      <c r="O20" s="34"/>
      <c r="P20" s="34"/>
      <c r="Q20" s="30"/>
      <c r="R20" s="34"/>
      <c r="S20" s="34"/>
      <c r="T20" s="30" t="e">
        <f t="shared" si="0"/>
        <v>#REF!</v>
      </c>
      <c r="U20" s="30" t="e">
        <f t="shared" si="0"/>
        <v>#REF!</v>
      </c>
      <c r="V20" s="45">
        <v>17</v>
      </c>
    </row>
    <row r="21" spans="1:22" ht="14.25">
      <c r="A21" s="9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23" t="e">
        <f>#REF!+110</f>
        <v>#REF!</v>
      </c>
      <c r="I21" s="23" t="e">
        <f t="shared" si="1"/>
        <v>#REF!</v>
      </c>
      <c r="J21" s="32" t="s">
        <v>108</v>
      </c>
      <c r="K21" s="30"/>
      <c r="L21" s="23"/>
      <c r="M21" s="34"/>
      <c r="N21" s="23"/>
      <c r="O21" s="23"/>
      <c r="P21" s="34"/>
      <c r="Q21" s="30"/>
      <c r="R21" s="23"/>
      <c r="S21" s="34"/>
      <c r="T21" s="30" t="e">
        <f t="shared" si="0"/>
        <v>#REF!</v>
      </c>
      <c r="U21" s="30" t="e">
        <f t="shared" si="0"/>
        <v>#REF!</v>
      </c>
      <c r="V21" s="45">
        <v>17</v>
      </c>
    </row>
    <row r="22" spans="1:22" ht="14.25" customHeight="1">
      <c r="A22" s="9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 t="e">
        <f>#REF!+110</f>
        <v>#REF!</v>
      </c>
      <c r="I22" s="23" t="e">
        <f t="shared" si="1"/>
        <v>#REF!</v>
      </c>
      <c r="J22" s="32"/>
      <c r="K22" s="30"/>
      <c r="L22" s="23"/>
      <c r="M22" s="34"/>
      <c r="N22" s="23"/>
      <c r="O22" s="23"/>
      <c r="P22" s="34"/>
      <c r="Q22" s="30"/>
      <c r="R22" s="23"/>
      <c r="S22" s="34"/>
      <c r="T22" s="30" t="e">
        <f t="shared" si="0"/>
        <v>#REF!</v>
      </c>
      <c r="U22" s="30" t="e">
        <f t="shared" si="0"/>
        <v>#REF!</v>
      </c>
      <c r="V22" s="45">
        <v>17</v>
      </c>
    </row>
    <row r="23" spans="1:22" ht="14.25" customHeight="1">
      <c r="A23" s="9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 t="e">
        <f>#REF!+110</f>
        <v>#REF!</v>
      </c>
      <c r="I23" s="23" t="e">
        <f t="shared" si="1"/>
        <v>#REF!</v>
      </c>
      <c r="J23" s="35"/>
      <c r="K23" s="30"/>
      <c r="L23" s="23"/>
      <c r="M23" s="34"/>
      <c r="N23" s="23"/>
      <c r="O23" s="23"/>
      <c r="P23" s="34"/>
      <c r="Q23" s="30"/>
      <c r="R23" s="23"/>
      <c r="S23" s="34"/>
      <c r="T23" s="30" t="e">
        <f t="shared" si="0"/>
        <v>#REF!</v>
      </c>
      <c r="U23" s="30" t="e">
        <f t="shared" si="0"/>
        <v>#REF!</v>
      </c>
      <c r="V23" s="45">
        <v>17</v>
      </c>
    </row>
    <row r="24" spans="1:22" s="2" customFormat="1" ht="24" customHeight="1">
      <c r="A24" s="7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22">
        <f>0.75*H26+0.25*H28</f>
        <v>307.0267765692826</v>
      </c>
      <c r="I24" s="22">
        <f>0.75*I26+0.25*I28</f>
        <v>325</v>
      </c>
      <c r="J24" s="36"/>
      <c r="K24" s="22">
        <f>0.75*K26+0.25*K28</f>
        <v>315.5621128615325</v>
      </c>
      <c r="L24" s="22">
        <f>0.75*L26+0.25*L28</f>
        <v>333.75</v>
      </c>
      <c r="M24" s="29"/>
      <c r="N24" s="22">
        <f>0.75*N26+0.25*N28</f>
        <v>326.5361166658538</v>
      </c>
      <c r="O24" s="22">
        <f>0.75*O26+0.25*O28</f>
        <v>345</v>
      </c>
      <c r="P24" s="29"/>
      <c r="Q24" s="22">
        <f>0.75*Q26+0.25*Q28</f>
        <v>338.7294542262108</v>
      </c>
      <c r="R24" s="22">
        <f>0.75*R26+0.25*R28</f>
        <v>357.5</v>
      </c>
      <c r="S24" s="29"/>
      <c r="T24" s="22">
        <f t="shared" si="0"/>
        <v>321.96361508071993</v>
      </c>
      <c r="U24" s="22">
        <f t="shared" si="0"/>
        <v>340.3125</v>
      </c>
      <c r="V24" s="45">
        <v>17</v>
      </c>
    </row>
    <row r="25" spans="1:22" ht="14.25" customHeight="1">
      <c r="A25" s="9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23">
        <f>(I25/1.01/1.015)-10</f>
        <v>311.9041115934254</v>
      </c>
      <c r="I25" s="37">
        <v>330</v>
      </c>
      <c r="J25" s="23"/>
      <c r="K25" s="23">
        <f>(L25/1.01/1.015)-10</f>
        <v>316.7814466175682</v>
      </c>
      <c r="L25" s="37">
        <v>335</v>
      </c>
      <c r="M25" s="23"/>
      <c r="N25" s="23">
        <f>(O25/1.01/1.015)-10</f>
        <v>321.658781641711</v>
      </c>
      <c r="O25" s="37">
        <v>340</v>
      </c>
      <c r="P25" s="23"/>
      <c r="Q25" s="23">
        <f>(R25/1.01/1.015)-10</f>
        <v>341.16812173828225</v>
      </c>
      <c r="R25" s="41">
        <v>360</v>
      </c>
      <c r="S25" s="34"/>
      <c r="T25" s="30">
        <f t="shared" si="0"/>
        <v>322.8781153977467</v>
      </c>
      <c r="U25" s="30">
        <f t="shared" si="0"/>
        <v>341.25</v>
      </c>
      <c r="V25" s="45">
        <v>17</v>
      </c>
    </row>
    <row r="26" spans="1:22" ht="14.25" customHeight="1">
      <c r="A26" s="9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23">
        <f>(I26/1.01/1.015)-10</f>
        <v>297.272106520997</v>
      </c>
      <c r="I26" s="37">
        <v>315</v>
      </c>
      <c r="J26" s="23"/>
      <c r="K26" s="23">
        <f>(L26/1.01/1.015)-10</f>
        <v>302.1494415451398</v>
      </c>
      <c r="L26" s="37">
        <v>320</v>
      </c>
      <c r="M26" s="23"/>
      <c r="N26" s="23">
        <f>(O26/1.01/1.015)-10</f>
        <v>302.1494415451398</v>
      </c>
      <c r="O26" s="37">
        <v>320</v>
      </c>
      <c r="P26" s="23"/>
      <c r="Q26" s="23">
        <f>(R26/1.01/1.015)-10</f>
        <v>326.5361166658538</v>
      </c>
      <c r="R26" s="41">
        <v>345</v>
      </c>
      <c r="S26" s="34"/>
      <c r="T26" s="30">
        <f t="shared" si="0"/>
        <v>307.02677656928256</v>
      </c>
      <c r="U26" s="30">
        <f t="shared" si="0"/>
        <v>325</v>
      </c>
      <c r="V26" s="45">
        <v>17</v>
      </c>
    </row>
    <row r="27" spans="1:22" ht="14.25" customHeight="1">
      <c r="A27" s="9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23">
        <f>(I27/1.01/1.015)-10</f>
        <v>350.92279178656787</v>
      </c>
      <c r="I27" s="37">
        <v>370</v>
      </c>
      <c r="J27" s="23"/>
      <c r="K27" s="23">
        <f>(L27/1.01/1.015)-10</f>
        <v>370.4321318831391</v>
      </c>
      <c r="L27" s="37">
        <v>390</v>
      </c>
      <c r="M27" s="23"/>
      <c r="N27" s="23">
        <f>(O27/1.01/1.015)-10</f>
        <v>419.2054821245672</v>
      </c>
      <c r="O27" s="37">
        <v>440</v>
      </c>
      <c r="P27" s="23"/>
      <c r="Q27" s="23">
        <f>(R27/1.01/1.015)-10</f>
        <v>389.94147197971034</v>
      </c>
      <c r="R27" s="41">
        <v>410</v>
      </c>
      <c r="S27" s="34"/>
      <c r="T27" s="30">
        <f t="shared" si="0"/>
        <v>382.6254694434961</v>
      </c>
      <c r="U27" s="30">
        <f t="shared" si="0"/>
        <v>402.5</v>
      </c>
      <c r="V27" s="45">
        <v>17</v>
      </c>
    </row>
    <row r="28" spans="1:22" ht="14.25" customHeight="1">
      <c r="A28" s="9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23">
        <f>(I28/1.01/1.015)-10</f>
        <v>336.2907867141394</v>
      </c>
      <c r="I28" s="37">
        <v>355</v>
      </c>
      <c r="J28" s="23"/>
      <c r="K28" s="23">
        <f>(L28/1.01/1.015)-10</f>
        <v>355.80012681071065</v>
      </c>
      <c r="L28" s="37">
        <v>375</v>
      </c>
      <c r="M28" s="23"/>
      <c r="N28" s="23">
        <f>(O28/1.01/1.015)-10</f>
        <v>399.69614202799596</v>
      </c>
      <c r="O28" s="37">
        <v>420</v>
      </c>
      <c r="P28" s="23"/>
      <c r="Q28" s="23">
        <f>(R28/1.01/1.015)-10</f>
        <v>375.3094669072819</v>
      </c>
      <c r="R28" s="41">
        <v>395</v>
      </c>
      <c r="S28" s="34"/>
      <c r="T28" s="30">
        <f t="shared" si="0"/>
        <v>366.774130615032</v>
      </c>
      <c r="U28" s="30">
        <f t="shared" si="0"/>
        <v>386.25</v>
      </c>
      <c r="V28" s="45">
        <v>17</v>
      </c>
    </row>
    <row r="29" spans="1:21" ht="14.25" customHeight="1" hidden="1">
      <c r="A29" s="9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28"/>
      <c r="I29" s="38">
        <v>6.3</v>
      </c>
      <c r="J29" s="26"/>
      <c r="K29" s="28"/>
      <c r="L29" s="38">
        <v>6.3</v>
      </c>
      <c r="M29" s="26"/>
      <c r="N29" s="28"/>
      <c r="O29" s="38">
        <v>6.3</v>
      </c>
      <c r="P29" s="26"/>
      <c r="Q29" s="28"/>
      <c r="R29" s="38">
        <v>6.3</v>
      </c>
      <c r="S29" s="26"/>
      <c r="T29" s="42"/>
      <c r="U29" s="42">
        <f>AVERAGE(I29,L29,O29,R29)</f>
        <v>6.3</v>
      </c>
    </row>
    <row r="30" spans="1:21" ht="14.25" customHeight="1" hidden="1">
      <c r="A30" s="9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28"/>
      <c r="I30" s="38">
        <v>6.75</v>
      </c>
      <c r="J30" s="26"/>
      <c r="K30" s="28"/>
      <c r="L30" s="38">
        <v>6.75</v>
      </c>
      <c r="M30" s="26"/>
      <c r="N30" s="28"/>
      <c r="O30" s="38">
        <v>6.75</v>
      </c>
      <c r="P30" s="26"/>
      <c r="Q30" s="28"/>
      <c r="R30" s="38">
        <v>6.75</v>
      </c>
      <c r="S30" s="26"/>
      <c r="T30" s="42"/>
      <c r="U30" s="42">
        <f>AVERAGE(I30,L30,O30,R30)</f>
        <v>6.75</v>
      </c>
    </row>
    <row r="31" spans="1:21" ht="14.25" customHeight="1" hidden="1">
      <c r="A31" s="9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28"/>
      <c r="I31" s="38">
        <v>5.73</v>
      </c>
      <c r="J31" s="26"/>
      <c r="K31" s="28"/>
      <c r="L31" s="38">
        <v>5.73</v>
      </c>
      <c r="M31" s="26"/>
      <c r="N31" s="28"/>
      <c r="O31" s="38">
        <v>5.73</v>
      </c>
      <c r="P31" s="26"/>
      <c r="Q31" s="28"/>
      <c r="R31" s="38">
        <v>5.73</v>
      </c>
      <c r="S31" s="26"/>
      <c r="T31" s="42"/>
      <c r="U31" s="42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1.7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73" customFormat="1" ht="13.5" customHeight="1">
      <c r="A3" s="6" t="s">
        <v>2</v>
      </c>
      <c r="B3" s="6" t="s">
        <v>3</v>
      </c>
      <c r="C3" s="6" t="s">
        <v>4</v>
      </c>
      <c r="D3" s="9"/>
      <c r="E3" s="6" t="s">
        <v>5</v>
      </c>
      <c r="F3" s="6" t="s">
        <v>6</v>
      </c>
      <c r="G3" s="6" t="s">
        <v>7</v>
      </c>
      <c r="H3" s="20" t="s">
        <v>83</v>
      </c>
      <c r="I3" s="9"/>
      <c r="J3" s="9"/>
      <c r="K3" s="20" t="s">
        <v>84</v>
      </c>
      <c r="L3" s="9"/>
      <c r="M3" s="9"/>
      <c r="N3" s="20" t="s">
        <v>85</v>
      </c>
      <c r="O3" s="9"/>
      <c r="P3" s="9"/>
      <c r="Q3" s="20" t="s">
        <v>86</v>
      </c>
      <c r="R3" s="9"/>
      <c r="S3" s="9"/>
      <c r="T3" s="20" t="s">
        <v>87</v>
      </c>
      <c r="U3" s="9"/>
      <c r="V3" s="9"/>
    </row>
    <row r="4" spans="1:22" s="173" customFormat="1" ht="25.5">
      <c r="A4" s="9"/>
      <c r="B4" s="9"/>
      <c r="C4" s="9"/>
      <c r="D4" s="9"/>
      <c r="E4" s="9"/>
      <c r="F4" s="9"/>
      <c r="G4" s="9"/>
      <c r="H4" s="6" t="s">
        <v>14</v>
      </c>
      <c r="I4" s="6" t="s">
        <v>15</v>
      </c>
      <c r="J4" s="221" t="s">
        <v>88</v>
      </c>
      <c r="K4" s="6" t="s">
        <v>14</v>
      </c>
      <c r="L4" s="6" t="s">
        <v>15</v>
      </c>
      <c r="M4" s="221" t="s">
        <v>88</v>
      </c>
      <c r="N4" s="6" t="s">
        <v>14</v>
      </c>
      <c r="O4" s="6" t="s">
        <v>15</v>
      </c>
      <c r="P4" s="221" t="s">
        <v>88</v>
      </c>
      <c r="Q4" s="6" t="s">
        <v>14</v>
      </c>
      <c r="R4" s="6" t="s">
        <v>15</v>
      </c>
      <c r="S4" s="221" t="s">
        <v>88</v>
      </c>
      <c r="T4" s="6" t="s">
        <v>14</v>
      </c>
      <c r="U4" s="6" t="s">
        <v>15</v>
      </c>
      <c r="V4" s="221" t="s">
        <v>88</v>
      </c>
    </row>
    <row r="5" spans="1:22" s="104" customFormat="1" ht="23.25" customHeight="1">
      <c r="A5" s="53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52" t="s">
        <v>21</v>
      </c>
      <c r="H5" s="318">
        <f>H6*0.8+H7*0.2</f>
        <v>2199.6000000000004</v>
      </c>
      <c r="I5" s="318">
        <f>I6*0.8+I7*0.2</f>
        <v>2263.044</v>
      </c>
      <c r="J5" s="154"/>
      <c r="K5" s="318"/>
      <c r="L5" s="318"/>
      <c r="M5" s="322"/>
      <c r="N5" s="318"/>
      <c r="O5" s="318"/>
      <c r="P5" s="322"/>
      <c r="Q5" s="318"/>
      <c r="R5" s="318"/>
      <c r="S5" s="322"/>
      <c r="T5" s="318"/>
      <c r="U5" s="318"/>
      <c r="V5" s="322"/>
    </row>
    <row r="6" spans="1:22" ht="25.5">
      <c r="A6" s="53">
        <v>2</v>
      </c>
      <c r="B6" s="9"/>
      <c r="C6" s="9"/>
      <c r="D6" s="10" t="s">
        <v>22</v>
      </c>
      <c r="E6" s="9"/>
      <c r="F6" s="10" t="s">
        <v>23</v>
      </c>
      <c r="G6" s="9" t="s">
        <v>21</v>
      </c>
      <c r="H6" s="23">
        <v>2162</v>
      </c>
      <c r="I6" s="23">
        <f>(H6+30)*1.015</f>
        <v>2224.8799999999997</v>
      </c>
      <c r="J6" s="32" t="s">
        <v>89</v>
      </c>
      <c r="K6" s="113"/>
      <c r="L6" s="113"/>
      <c r="M6" s="113"/>
      <c r="N6" s="113"/>
      <c r="O6" s="113"/>
      <c r="P6" s="113"/>
      <c r="Q6" s="23"/>
      <c r="R6" s="113"/>
      <c r="S6" s="328"/>
      <c r="T6" s="23"/>
      <c r="U6" s="113"/>
      <c r="V6" s="328"/>
    </row>
    <row r="7" spans="1:22" ht="13.5">
      <c r="A7" s="53">
        <v>3</v>
      </c>
      <c r="B7" s="9"/>
      <c r="C7" s="9"/>
      <c r="D7" s="10" t="s">
        <v>24</v>
      </c>
      <c r="E7" s="9"/>
      <c r="F7" s="10" t="s">
        <v>25</v>
      </c>
      <c r="G7" s="9" t="s">
        <v>21</v>
      </c>
      <c r="H7" s="370">
        <v>2350</v>
      </c>
      <c r="I7" s="23">
        <f>(H7+30)*1.015</f>
        <v>2415.7</v>
      </c>
      <c r="J7" s="32" t="s">
        <v>89</v>
      </c>
      <c r="K7" s="113"/>
      <c r="L7" s="113"/>
      <c r="M7" s="113"/>
      <c r="N7" s="113"/>
      <c r="O7" s="113"/>
      <c r="P7" s="113"/>
      <c r="Q7" s="23"/>
      <c r="R7" s="113"/>
      <c r="S7" s="328"/>
      <c r="T7" s="23"/>
      <c r="U7" s="113"/>
      <c r="V7" s="328"/>
    </row>
    <row r="8" spans="1:22" s="104" customFormat="1" ht="36" customHeight="1">
      <c r="A8" s="53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7" t="s">
        <v>21</v>
      </c>
      <c r="H8" s="82">
        <f>H9*0.03+H10*0.38+H11*0.27+H12*0.32</f>
        <v>1986.8200000000002</v>
      </c>
      <c r="I8" s="82">
        <f>I9*0.03+I10*0.38+I11*0.27+I12*0.32</f>
        <v>2047.0723</v>
      </c>
      <c r="J8" s="33"/>
      <c r="K8" s="157"/>
      <c r="L8" s="157"/>
      <c r="M8" s="157"/>
      <c r="N8" s="157"/>
      <c r="O8" s="157"/>
      <c r="P8" s="113"/>
      <c r="Q8" s="157"/>
      <c r="R8" s="157"/>
      <c r="S8" s="113"/>
      <c r="T8" s="157"/>
      <c r="U8" s="157"/>
      <c r="V8" s="113"/>
    </row>
    <row r="9" spans="1:22" ht="13.5" customHeight="1">
      <c r="A9" s="53">
        <v>5</v>
      </c>
      <c r="B9" s="9"/>
      <c r="C9" s="9"/>
      <c r="D9" s="10" t="s">
        <v>29</v>
      </c>
      <c r="E9" s="9"/>
      <c r="F9" s="10" t="s">
        <v>30</v>
      </c>
      <c r="G9" s="9" t="s">
        <v>21</v>
      </c>
      <c r="H9" s="371">
        <v>2230</v>
      </c>
      <c r="I9" s="23">
        <f>(H9+30)*1.015</f>
        <v>2293.8999999999996</v>
      </c>
      <c r="J9" s="32" t="s">
        <v>90</v>
      </c>
      <c r="K9" s="113"/>
      <c r="L9" s="113"/>
      <c r="M9" s="113"/>
      <c r="N9" s="23"/>
      <c r="O9" s="113"/>
      <c r="P9" s="113"/>
      <c r="Q9" s="23"/>
      <c r="R9" s="113"/>
      <c r="S9" s="328"/>
      <c r="T9" s="23"/>
      <c r="U9" s="113"/>
      <c r="V9" s="328"/>
    </row>
    <row r="10" spans="1:22" ht="13.5" customHeight="1">
      <c r="A10" s="53">
        <v>6</v>
      </c>
      <c r="B10" s="9"/>
      <c r="C10" s="9"/>
      <c r="D10" s="10" t="s">
        <v>29</v>
      </c>
      <c r="E10" s="9"/>
      <c r="F10" s="10" t="s">
        <v>31</v>
      </c>
      <c r="G10" s="9" t="s">
        <v>21</v>
      </c>
      <c r="H10" s="372">
        <v>2042</v>
      </c>
      <c r="I10" s="23">
        <f>(H10+30)*1.015</f>
        <v>2103.08</v>
      </c>
      <c r="J10" s="32" t="s">
        <v>90</v>
      </c>
      <c r="K10" s="113"/>
      <c r="L10" s="113"/>
      <c r="M10" s="113"/>
      <c r="N10" s="23"/>
      <c r="O10" s="113"/>
      <c r="P10" s="113"/>
      <c r="Q10" s="23"/>
      <c r="R10" s="113"/>
      <c r="S10" s="328"/>
      <c r="T10" s="23"/>
      <c r="U10" s="113"/>
      <c r="V10" s="328"/>
    </row>
    <row r="11" spans="1:22" ht="13.5" customHeight="1">
      <c r="A11" s="53">
        <v>7</v>
      </c>
      <c r="B11" s="9"/>
      <c r="C11" s="9"/>
      <c r="D11" s="10" t="s">
        <v>29</v>
      </c>
      <c r="E11" s="9"/>
      <c r="F11" s="10" t="s">
        <v>32</v>
      </c>
      <c r="G11" s="9" t="s">
        <v>21</v>
      </c>
      <c r="H11" s="372">
        <v>1876</v>
      </c>
      <c r="I11" s="23">
        <f>(H11+30)*1.015</f>
        <v>1934.59</v>
      </c>
      <c r="J11" s="32" t="s">
        <v>90</v>
      </c>
      <c r="K11" s="113"/>
      <c r="L11" s="113"/>
      <c r="M11" s="113"/>
      <c r="N11" s="23"/>
      <c r="O11" s="113"/>
      <c r="P11" s="113"/>
      <c r="Q11" s="23"/>
      <c r="R11" s="113"/>
      <c r="S11" s="328"/>
      <c r="T11" s="23"/>
      <c r="U11" s="113"/>
      <c r="V11" s="328"/>
    </row>
    <row r="12" spans="1:22" ht="13.5" customHeight="1">
      <c r="A12" s="53">
        <v>8</v>
      </c>
      <c r="B12" s="9"/>
      <c r="C12" s="9"/>
      <c r="D12" s="10" t="s">
        <v>29</v>
      </c>
      <c r="E12" s="9"/>
      <c r="F12" s="10" t="s">
        <v>33</v>
      </c>
      <c r="G12" s="9" t="s">
        <v>21</v>
      </c>
      <c r="H12" s="372">
        <v>1992</v>
      </c>
      <c r="I12" s="23">
        <f>(H12+30)*1.015</f>
        <v>2052.33</v>
      </c>
      <c r="J12" s="32" t="s">
        <v>90</v>
      </c>
      <c r="K12" s="113"/>
      <c r="L12" s="113"/>
      <c r="M12" s="113"/>
      <c r="N12" s="23"/>
      <c r="O12" s="113"/>
      <c r="P12" s="113"/>
      <c r="Q12" s="23"/>
      <c r="R12" s="113"/>
      <c r="S12" s="328"/>
      <c r="T12" s="23"/>
      <c r="U12" s="113"/>
      <c r="V12" s="328"/>
    </row>
    <row r="13" spans="1:22" s="104" customFormat="1" ht="24" customHeight="1">
      <c r="A13" s="53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7" t="s">
        <v>21</v>
      </c>
      <c r="H13" s="320">
        <f>H14*0.27+H15*0.67+H16*0.06</f>
        <v>2246.3</v>
      </c>
      <c r="I13" s="157">
        <f>I14*0.27+I15*0.67+I16*0.06</f>
        <v>2310.4445</v>
      </c>
      <c r="J13" s="33"/>
      <c r="K13" s="157"/>
      <c r="L13" s="157"/>
      <c r="M13" s="157"/>
      <c r="N13" s="157"/>
      <c r="O13" s="157"/>
      <c r="P13" s="113"/>
      <c r="Q13" s="157"/>
      <c r="R13" s="157"/>
      <c r="S13" s="113"/>
      <c r="T13" s="157"/>
      <c r="U13" s="157"/>
      <c r="V13" s="113"/>
    </row>
    <row r="14" spans="1:22" ht="13.5" customHeight="1">
      <c r="A14" s="53">
        <v>10</v>
      </c>
      <c r="B14" s="9"/>
      <c r="C14" s="9"/>
      <c r="D14" s="10" t="s">
        <v>37</v>
      </c>
      <c r="E14" s="9"/>
      <c r="F14" s="13" t="s">
        <v>38</v>
      </c>
      <c r="G14" s="9" t="s">
        <v>21</v>
      </c>
      <c r="H14" s="373">
        <v>2200</v>
      </c>
      <c r="I14" s="23">
        <f>(H14+30)*1.015</f>
        <v>2263.45</v>
      </c>
      <c r="J14" s="32" t="s">
        <v>91</v>
      </c>
      <c r="K14" s="113"/>
      <c r="L14" s="113"/>
      <c r="M14" s="113"/>
      <c r="N14" s="23"/>
      <c r="O14" s="113"/>
      <c r="P14" s="113"/>
      <c r="Q14" s="23"/>
      <c r="R14" s="113"/>
      <c r="S14" s="328"/>
      <c r="T14" s="23"/>
      <c r="U14" s="113"/>
      <c r="V14" s="328"/>
    </row>
    <row r="15" spans="1:22" ht="13.5" customHeight="1">
      <c r="A15" s="53">
        <v>11</v>
      </c>
      <c r="B15" s="9"/>
      <c r="C15" s="9"/>
      <c r="D15" s="10" t="s">
        <v>39</v>
      </c>
      <c r="E15" s="9"/>
      <c r="F15" s="13" t="s">
        <v>40</v>
      </c>
      <c r="G15" s="9" t="s">
        <v>21</v>
      </c>
      <c r="H15" s="373">
        <v>2270</v>
      </c>
      <c r="I15" s="23">
        <f>(H15+30)*1.015</f>
        <v>2334.5</v>
      </c>
      <c r="J15" s="32" t="s">
        <v>92</v>
      </c>
      <c r="K15" s="113"/>
      <c r="L15" s="113"/>
      <c r="M15" s="113"/>
      <c r="N15" s="23"/>
      <c r="O15" s="113"/>
      <c r="P15" s="113"/>
      <c r="Q15" s="23"/>
      <c r="R15" s="113"/>
      <c r="S15" s="328"/>
      <c r="T15" s="23"/>
      <c r="U15" s="113"/>
      <c r="V15" s="328"/>
    </row>
    <row r="16" spans="1:22" ht="13.5" customHeight="1">
      <c r="A16" s="53">
        <v>12</v>
      </c>
      <c r="B16" s="9"/>
      <c r="C16" s="9"/>
      <c r="D16" s="10" t="s">
        <v>41</v>
      </c>
      <c r="E16" s="9"/>
      <c r="F16" s="13" t="s">
        <v>42</v>
      </c>
      <c r="G16" s="9" t="s">
        <v>21</v>
      </c>
      <c r="H16" s="371">
        <v>2190</v>
      </c>
      <c r="I16" s="23">
        <f>(H16+30)*1.015</f>
        <v>2253.2999999999997</v>
      </c>
      <c r="J16" s="32" t="s">
        <v>91</v>
      </c>
      <c r="K16" s="113"/>
      <c r="L16" s="113"/>
      <c r="M16" s="113"/>
      <c r="N16" s="23"/>
      <c r="O16" s="113"/>
      <c r="P16" s="113"/>
      <c r="Q16" s="23"/>
      <c r="R16" s="113"/>
      <c r="S16" s="328"/>
      <c r="T16" s="23"/>
      <c r="U16" s="113"/>
      <c r="V16" s="328"/>
    </row>
    <row r="17" spans="1:22" ht="13.5" customHeight="1">
      <c r="A17" s="53">
        <v>13</v>
      </c>
      <c r="B17" s="9"/>
      <c r="C17" s="6" t="s">
        <v>43</v>
      </c>
      <c r="D17" s="9"/>
      <c r="E17" s="9">
        <v>183</v>
      </c>
      <c r="F17" s="13" t="s">
        <v>44</v>
      </c>
      <c r="G17" s="9" t="s">
        <v>21</v>
      </c>
      <c r="H17" s="372">
        <v>2173</v>
      </c>
      <c r="I17" s="23">
        <f>(H17+30)*1.015</f>
        <v>2236.0449999999996</v>
      </c>
      <c r="J17" s="32" t="s">
        <v>91</v>
      </c>
      <c r="K17" s="113"/>
      <c r="L17" s="113"/>
      <c r="M17" s="113"/>
      <c r="N17" s="113"/>
      <c r="O17" s="113"/>
      <c r="P17" s="113"/>
      <c r="Q17" s="328"/>
      <c r="R17" s="113"/>
      <c r="S17" s="328"/>
      <c r="T17" s="328"/>
      <c r="U17" s="113"/>
      <c r="V17" s="328"/>
    </row>
    <row r="18" spans="1:22" s="104" customFormat="1" ht="24" customHeight="1">
      <c r="A18" s="53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7" t="s">
        <v>21</v>
      </c>
      <c r="H18" s="320">
        <f>H19*0.6+H20*0.2+H21*0.2</f>
        <v>2390</v>
      </c>
      <c r="I18" s="157">
        <f>I19*0.6+I20*0.2+I21*0.2</f>
        <v>2456.2999999999993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1:22" ht="13.5" customHeight="1">
      <c r="A19" s="53">
        <v>15</v>
      </c>
      <c r="B19" s="9"/>
      <c r="C19" s="9"/>
      <c r="D19" s="10" t="s">
        <v>48</v>
      </c>
      <c r="E19" s="25"/>
      <c r="F19" s="10" t="s">
        <v>49</v>
      </c>
      <c r="G19" s="9" t="s">
        <v>21</v>
      </c>
      <c r="H19" s="374">
        <v>2284</v>
      </c>
      <c r="I19" s="23">
        <f>(H19+30)*1.015</f>
        <v>2348.7099999999996</v>
      </c>
      <c r="J19" s="31" t="s">
        <v>93</v>
      </c>
      <c r="K19" s="113"/>
      <c r="L19" s="113"/>
      <c r="M19" s="113"/>
      <c r="N19" s="113"/>
      <c r="O19" s="113"/>
      <c r="P19" s="113"/>
      <c r="Q19" s="328"/>
      <c r="R19" s="113"/>
      <c r="S19" s="328"/>
      <c r="T19" s="113"/>
      <c r="U19" s="113"/>
      <c r="V19" s="328"/>
    </row>
    <row r="20" spans="1:22" ht="13.5" customHeight="1">
      <c r="A20" s="53">
        <v>16</v>
      </c>
      <c r="B20" s="9"/>
      <c r="C20" s="9"/>
      <c r="D20" s="10" t="s">
        <v>50</v>
      </c>
      <c r="E20" s="25">
        <v>192</v>
      </c>
      <c r="F20" s="10" t="s">
        <v>51</v>
      </c>
      <c r="G20" s="9" t="s">
        <v>21</v>
      </c>
      <c r="H20" s="374">
        <v>2458</v>
      </c>
      <c r="I20" s="23">
        <f>(H20+30)*1.015</f>
        <v>2525.3199999999997</v>
      </c>
      <c r="J20" s="31" t="s">
        <v>93</v>
      </c>
      <c r="K20" s="113"/>
      <c r="L20" s="113"/>
      <c r="M20" s="113"/>
      <c r="N20" s="113"/>
      <c r="O20" s="113"/>
      <c r="P20" s="113"/>
      <c r="Q20" s="328"/>
      <c r="R20" s="113"/>
      <c r="S20" s="328"/>
      <c r="T20" s="113"/>
      <c r="U20" s="113"/>
      <c r="V20" s="328"/>
    </row>
    <row r="21" spans="1:22" ht="13.5" customHeight="1">
      <c r="A21" s="53">
        <v>17</v>
      </c>
      <c r="B21" s="9"/>
      <c r="C21" s="9"/>
      <c r="D21" s="10" t="s">
        <v>52</v>
      </c>
      <c r="E21" s="25">
        <v>191</v>
      </c>
      <c r="F21" s="10" t="s">
        <v>53</v>
      </c>
      <c r="G21" s="9" t="s">
        <v>21</v>
      </c>
      <c r="H21" s="375">
        <v>2640</v>
      </c>
      <c r="I21" s="23">
        <f>(H21+30)*1.015</f>
        <v>2710.0499999999997</v>
      </c>
      <c r="J21" s="32" t="s">
        <v>94</v>
      </c>
      <c r="K21" s="113"/>
      <c r="L21" s="113"/>
      <c r="M21" s="113"/>
      <c r="N21" s="113"/>
      <c r="O21" s="113"/>
      <c r="P21" s="113"/>
      <c r="Q21" s="328"/>
      <c r="R21" s="113"/>
      <c r="S21" s="328"/>
      <c r="T21" s="113"/>
      <c r="U21" s="113"/>
      <c r="V21" s="328"/>
    </row>
    <row r="22" spans="1:22" ht="13.5" customHeight="1">
      <c r="A22" s="53">
        <v>18</v>
      </c>
      <c r="B22" s="9"/>
      <c r="C22" s="10" t="s">
        <v>54</v>
      </c>
      <c r="D22" s="13"/>
      <c r="E22" s="9">
        <v>121</v>
      </c>
      <c r="F22" s="13"/>
      <c r="G22" s="9" t="s">
        <v>21</v>
      </c>
      <c r="H22" s="23">
        <f>H23+400</f>
        <v>3890</v>
      </c>
      <c r="I22" s="23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28"/>
      <c r="R22" s="113"/>
      <c r="S22" s="328"/>
      <c r="T22" s="113"/>
      <c r="U22" s="113"/>
      <c r="V22" s="328"/>
    </row>
    <row r="23" spans="1:22" ht="13.5" customHeight="1">
      <c r="A23" s="53">
        <v>19</v>
      </c>
      <c r="B23" s="9"/>
      <c r="C23" s="10" t="s">
        <v>55</v>
      </c>
      <c r="D23" s="13"/>
      <c r="E23" s="9">
        <v>125</v>
      </c>
      <c r="F23" s="10" t="s">
        <v>56</v>
      </c>
      <c r="G23" s="9" t="s">
        <v>21</v>
      </c>
      <c r="H23" s="23">
        <v>3490</v>
      </c>
      <c r="I23" s="23">
        <f>(H23+30)*1.015</f>
        <v>3572.7999999999997</v>
      </c>
      <c r="J23" s="325"/>
      <c r="K23" s="113"/>
      <c r="L23" s="113"/>
      <c r="M23" s="325"/>
      <c r="N23" s="113"/>
      <c r="O23" s="113"/>
      <c r="P23" s="113"/>
      <c r="Q23" s="113"/>
      <c r="R23" s="113"/>
      <c r="S23" s="328"/>
      <c r="T23" s="113"/>
      <c r="U23" s="113"/>
      <c r="V23" s="328"/>
    </row>
    <row r="24" spans="1:22" s="104" customFormat="1" ht="24" customHeight="1">
      <c r="A24" s="53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7" t="s">
        <v>21</v>
      </c>
      <c r="H24" s="157">
        <f>H26*0.75+H28*0.25</f>
        <v>248.75</v>
      </c>
      <c r="I24" s="157">
        <f>I26*0.75+I28*0.25</f>
        <v>265.2575625</v>
      </c>
      <c r="J24" s="113"/>
      <c r="K24" s="157">
        <f>K26*0.75+K28*0.25</f>
        <v>258</v>
      </c>
      <c r="L24" s="157">
        <f>L26*0.75+L28*0.25</f>
        <v>274.74019999999996</v>
      </c>
      <c r="M24" s="157"/>
      <c r="N24" s="157">
        <f>N26*0.75+N28*0.25</f>
        <v>255.25</v>
      </c>
      <c r="O24" s="157">
        <f>O26*0.75+O28*0.25</f>
        <v>271.92103749999995</v>
      </c>
      <c r="P24" s="157"/>
      <c r="Q24" s="157">
        <f>Q26*0.75+Q28*0.25</f>
        <v>267.75</v>
      </c>
      <c r="R24" s="157">
        <f>R26*0.75+R28*0.25</f>
        <v>284.73541249999994</v>
      </c>
      <c r="S24" s="157"/>
      <c r="T24" s="157">
        <f>T26*0.75+T28*0.25</f>
        <v>262.75</v>
      </c>
      <c r="U24" s="157">
        <f>U26*0.75+U28*0.25</f>
        <v>279.60966249999996</v>
      </c>
      <c r="V24" s="157"/>
    </row>
    <row r="25" spans="1:22" ht="13.5" customHeight="1">
      <c r="A25" s="53">
        <v>21</v>
      </c>
      <c r="B25" s="9"/>
      <c r="C25" s="13" t="s">
        <v>60</v>
      </c>
      <c r="D25" s="13"/>
      <c r="E25" s="9">
        <v>832</v>
      </c>
      <c r="F25" s="10" t="s">
        <v>61</v>
      </c>
      <c r="G25" s="9" t="s">
        <v>21</v>
      </c>
      <c r="H25" s="336">
        <v>273</v>
      </c>
      <c r="I25" s="327">
        <f aca="true" t="shared" si="0" ref="I25:I31">(H25+10)*1.015*1.01</f>
        <v>290.11744999999996</v>
      </c>
      <c r="J25" s="327"/>
      <c r="K25" s="327">
        <v>283</v>
      </c>
      <c r="L25" s="327">
        <f>(K25+10)*1.015*1.01</f>
        <v>300.36895</v>
      </c>
      <c r="M25" s="327"/>
      <c r="N25" s="384">
        <v>267</v>
      </c>
      <c r="O25" s="384">
        <f>(N25+10)*1.015*1.01</f>
        <v>283.96655</v>
      </c>
      <c r="P25" s="385"/>
      <c r="Q25" s="387">
        <v>278</v>
      </c>
      <c r="R25" s="327">
        <f>(Q25+10)*1.015*1.01</f>
        <v>295.2432</v>
      </c>
      <c r="S25" s="327"/>
      <c r="T25" s="387">
        <v>283</v>
      </c>
      <c r="U25" s="327">
        <f>(T25+10)*1.015*1.01</f>
        <v>300.36895</v>
      </c>
      <c r="V25" s="150"/>
    </row>
    <row r="26" spans="1:22" ht="13.5" customHeight="1">
      <c r="A26" s="53">
        <v>22</v>
      </c>
      <c r="B26" s="9"/>
      <c r="C26" s="13" t="s">
        <v>60</v>
      </c>
      <c r="D26" s="13"/>
      <c r="E26" s="9"/>
      <c r="F26" s="10" t="s">
        <v>62</v>
      </c>
      <c r="G26" s="9" t="s">
        <v>21</v>
      </c>
      <c r="H26" s="336">
        <v>244</v>
      </c>
      <c r="I26" s="327">
        <f t="shared" si="0"/>
        <v>260.3881</v>
      </c>
      <c r="J26" s="327"/>
      <c r="K26" s="327">
        <v>253</v>
      </c>
      <c r="L26" s="327">
        <f>(K26+10)*1.015*1.01</f>
        <v>269.61445</v>
      </c>
      <c r="M26" s="327"/>
      <c r="N26" s="384">
        <v>248</v>
      </c>
      <c r="O26" s="384">
        <f>(N26+10)*1.015*1.01</f>
        <v>264.48869999999994</v>
      </c>
      <c r="P26" s="385"/>
      <c r="Q26" s="387">
        <v>258</v>
      </c>
      <c r="R26" s="327">
        <f>(Q26+10)*1.015*1.01</f>
        <v>274.74019999999996</v>
      </c>
      <c r="S26" s="327"/>
      <c r="T26" s="387">
        <v>253</v>
      </c>
      <c r="U26" s="327">
        <f>(T26+10)*1.015*1.01</f>
        <v>269.61445</v>
      </c>
      <c r="V26" s="150"/>
    </row>
    <row r="27" spans="1:22" ht="13.5" customHeight="1">
      <c r="A27" s="53">
        <v>23</v>
      </c>
      <c r="B27" s="9"/>
      <c r="C27" s="13" t="s">
        <v>63</v>
      </c>
      <c r="D27" s="13"/>
      <c r="E27" s="9">
        <v>833</v>
      </c>
      <c r="F27" s="10" t="s">
        <v>61</v>
      </c>
      <c r="G27" s="9" t="s">
        <v>21</v>
      </c>
      <c r="H27" s="336">
        <v>292</v>
      </c>
      <c r="I27" s="327">
        <f t="shared" si="0"/>
        <v>309.59529999999995</v>
      </c>
      <c r="J27" s="327"/>
      <c r="K27" s="327">
        <v>302</v>
      </c>
      <c r="L27" s="327">
        <f>(K27+10)*1.015*1.01</f>
        <v>319.8468</v>
      </c>
      <c r="M27" s="327"/>
      <c r="N27" s="384">
        <v>306</v>
      </c>
      <c r="O27" s="384">
        <f>(N27+10)*1.015*1.01</f>
        <v>323.94739999999996</v>
      </c>
      <c r="P27" s="385"/>
      <c r="Q27" s="387">
        <v>317</v>
      </c>
      <c r="R27" s="327">
        <f>(Q27+10)*1.015*1.01</f>
        <v>335.22405</v>
      </c>
      <c r="S27" s="327"/>
      <c r="T27" s="387">
        <v>312</v>
      </c>
      <c r="U27" s="327">
        <f>(T27+10)*1.015*1.01</f>
        <v>330.0983</v>
      </c>
      <c r="V27" s="150"/>
    </row>
    <row r="28" spans="1:22" ht="13.5" customHeight="1">
      <c r="A28" s="53">
        <v>24</v>
      </c>
      <c r="B28" s="9"/>
      <c r="C28" s="13" t="s">
        <v>63</v>
      </c>
      <c r="D28" s="13"/>
      <c r="E28" s="9"/>
      <c r="F28" s="10" t="s">
        <v>62</v>
      </c>
      <c r="G28" s="9" t="s">
        <v>21</v>
      </c>
      <c r="H28" s="336">
        <v>263</v>
      </c>
      <c r="I28" s="327">
        <f t="shared" si="0"/>
        <v>279.86595</v>
      </c>
      <c r="J28" s="327"/>
      <c r="K28" s="327">
        <v>273</v>
      </c>
      <c r="L28" s="327">
        <f>(K28+10)*1.015*1.01</f>
        <v>290.11744999999996</v>
      </c>
      <c r="M28" s="327"/>
      <c r="N28" s="384">
        <v>277</v>
      </c>
      <c r="O28" s="384">
        <f>(N28+10)*1.015*1.01</f>
        <v>294.21804999999995</v>
      </c>
      <c r="P28" s="385"/>
      <c r="Q28" s="387">
        <v>297</v>
      </c>
      <c r="R28" s="327">
        <f>(Q28+10)*1.015*1.01</f>
        <v>314.72105</v>
      </c>
      <c r="S28" s="327"/>
      <c r="T28" s="387">
        <v>292</v>
      </c>
      <c r="U28" s="327">
        <f>(T28+10)*1.015*1.01</f>
        <v>309.59529999999995</v>
      </c>
      <c r="V28" s="150"/>
    </row>
    <row r="29" spans="1:22" s="210" customFormat="1" ht="13.5" customHeight="1" hidden="1">
      <c r="A29" s="53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376"/>
      <c r="I29" s="287">
        <f t="shared" si="0"/>
        <v>10.251499999999998</v>
      </c>
      <c r="J29" s="379"/>
      <c r="K29" s="376"/>
      <c r="L29" s="380"/>
      <c r="M29" s="379"/>
      <c r="N29" s="376"/>
      <c r="O29" s="380"/>
      <c r="P29" s="386"/>
      <c r="Q29" s="388"/>
      <c r="R29" s="380"/>
      <c r="S29" s="386"/>
      <c r="T29" s="389"/>
      <c r="U29" s="393"/>
      <c r="V29" s="381"/>
    </row>
    <row r="30" spans="1:22" s="210" customFormat="1" ht="13.5" customHeight="1" hidden="1">
      <c r="A30" s="53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377"/>
      <c r="I30" s="287">
        <f t="shared" si="0"/>
        <v>10.251499999999998</v>
      </c>
      <c r="J30" s="379"/>
      <c r="K30" s="377"/>
      <c r="L30" s="380"/>
      <c r="M30" s="379"/>
      <c r="N30" s="377"/>
      <c r="O30" s="380"/>
      <c r="P30" s="379"/>
      <c r="Q30" s="390"/>
      <c r="R30" s="380"/>
      <c r="S30" s="379"/>
      <c r="T30" s="377"/>
      <c r="U30" s="380"/>
      <c r="V30" s="381"/>
    </row>
    <row r="31" spans="1:22" s="210" customFormat="1" ht="13.5" customHeight="1" hidden="1">
      <c r="A31" s="53">
        <v>27</v>
      </c>
      <c r="B31" s="17"/>
      <c r="C31" s="10" t="s">
        <v>69</v>
      </c>
      <c r="D31" s="18"/>
      <c r="E31" s="26">
        <v>863</v>
      </c>
      <c r="F31" s="27" t="s">
        <v>70</v>
      </c>
      <c r="G31" s="26" t="s">
        <v>67</v>
      </c>
      <c r="H31" s="148"/>
      <c r="I31" s="287">
        <f t="shared" si="0"/>
        <v>10.251499999999998</v>
      </c>
      <c r="J31" s="381"/>
      <c r="K31" s="148"/>
      <c r="L31" s="38">
        <v>5.75</v>
      </c>
      <c r="M31" s="381"/>
      <c r="N31" s="148"/>
      <c r="O31" s="38">
        <v>5.75</v>
      </c>
      <c r="P31" s="381"/>
      <c r="Q31" s="148"/>
      <c r="R31" s="38">
        <v>5.75</v>
      </c>
      <c r="S31" s="381"/>
      <c r="T31" s="148"/>
      <c r="U31" s="38">
        <v>5.75</v>
      </c>
      <c r="V31" s="381"/>
    </row>
    <row r="32" spans="1:22" s="313" customFormat="1" ht="21.7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3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20" t="s">
        <v>96</v>
      </c>
      <c r="I34" s="9"/>
      <c r="J34" s="9"/>
      <c r="K34" s="20" t="s">
        <v>97</v>
      </c>
      <c r="L34" s="9"/>
      <c r="M34" s="9"/>
      <c r="N34" s="20" t="s">
        <v>98</v>
      </c>
      <c r="O34" s="9"/>
      <c r="P34" s="9"/>
      <c r="Q34" s="9"/>
      <c r="R34" s="9"/>
      <c r="S34" s="9"/>
      <c r="T34" s="391" t="s">
        <v>77</v>
      </c>
      <c r="U34" s="394" t="s">
        <v>78</v>
      </c>
      <c r="V34" s="173"/>
    </row>
    <row r="35" spans="1:22" ht="25.5">
      <c r="A35" s="53"/>
      <c r="B35" s="53"/>
      <c r="C35" s="108"/>
      <c r="D35" s="109"/>
      <c r="E35" s="53"/>
      <c r="F35" s="53"/>
      <c r="G35" s="53"/>
      <c r="H35" s="49" t="s">
        <v>14</v>
      </c>
      <c r="I35" s="49" t="s">
        <v>15</v>
      </c>
      <c r="J35" s="221" t="s">
        <v>88</v>
      </c>
      <c r="K35" s="49" t="s">
        <v>14</v>
      </c>
      <c r="L35" s="49" t="s">
        <v>15</v>
      </c>
      <c r="M35" s="221" t="s">
        <v>88</v>
      </c>
      <c r="N35" s="49" t="s">
        <v>14</v>
      </c>
      <c r="O35" s="49" t="s">
        <v>15</v>
      </c>
      <c r="P35" s="221" t="s">
        <v>88</v>
      </c>
      <c r="Q35" s="53"/>
      <c r="R35" s="53"/>
      <c r="S35" s="361"/>
      <c r="T35" s="52"/>
      <c r="U35" s="7"/>
      <c r="V35" s="173"/>
    </row>
    <row r="36" spans="1:22" s="104" customFormat="1" ht="23.25" customHeight="1">
      <c r="A36" s="53">
        <v>1</v>
      </c>
      <c r="B36" s="6" t="s">
        <v>16</v>
      </c>
      <c r="C36" s="6" t="s">
        <v>17</v>
      </c>
      <c r="D36" s="8" t="s">
        <v>18</v>
      </c>
      <c r="E36" s="9" t="s">
        <v>19</v>
      </c>
      <c r="F36" s="21" t="s">
        <v>20</v>
      </c>
      <c r="G36" s="7" t="s">
        <v>21</v>
      </c>
      <c r="H36" s="157"/>
      <c r="I36" s="157"/>
      <c r="J36" s="113"/>
      <c r="K36" s="157"/>
      <c r="L36" s="157"/>
      <c r="M36" s="113"/>
      <c r="N36" s="157"/>
      <c r="O36" s="157"/>
      <c r="P36" s="113"/>
      <c r="Q36" s="157"/>
      <c r="R36" s="157"/>
      <c r="S36" s="113"/>
      <c r="T36" s="157">
        <f aca="true" t="shared" si="1" ref="T36:U51">AVERAGE(H5,K5,N5,Q5,T5,H36,K36,N36)</f>
        <v>2199.6000000000004</v>
      </c>
      <c r="U36" s="157">
        <f t="shared" si="1"/>
        <v>2263.044</v>
      </c>
      <c r="V36" s="188"/>
    </row>
    <row r="37" spans="1:22" ht="25.5">
      <c r="A37" s="53">
        <v>2</v>
      </c>
      <c r="B37" s="9"/>
      <c r="C37" s="9"/>
      <c r="D37" s="10" t="s">
        <v>22</v>
      </c>
      <c r="E37" s="9"/>
      <c r="F37" s="10" t="s">
        <v>23</v>
      </c>
      <c r="G37" s="9" t="s">
        <v>21</v>
      </c>
      <c r="H37" s="23"/>
      <c r="I37" s="113"/>
      <c r="J37" s="113"/>
      <c r="K37" s="23"/>
      <c r="L37" s="113"/>
      <c r="M37" s="113"/>
      <c r="N37" s="113"/>
      <c r="O37" s="113"/>
      <c r="P37" s="113"/>
      <c r="Q37" s="113"/>
      <c r="R37" s="113"/>
      <c r="S37" s="113"/>
      <c r="T37" s="23">
        <f t="shared" si="1"/>
        <v>2162</v>
      </c>
      <c r="U37" s="23">
        <f t="shared" si="1"/>
        <v>2224.8799999999997</v>
      </c>
      <c r="V37" s="173"/>
    </row>
    <row r="38" spans="1:22" ht="12.75">
      <c r="A38" s="53">
        <v>3</v>
      </c>
      <c r="B38" s="9"/>
      <c r="C38" s="9"/>
      <c r="D38" s="10" t="s">
        <v>24</v>
      </c>
      <c r="E38" s="9"/>
      <c r="F38" s="10" t="s">
        <v>25</v>
      </c>
      <c r="G38" s="9" t="s">
        <v>21</v>
      </c>
      <c r="H38" s="23"/>
      <c r="I38" s="113"/>
      <c r="J38" s="113"/>
      <c r="K38" s="23"/>
      <c r="L38" s="113"/>
      <c r="M38" s="113"/>
      <c r="N38" s="113"/>
      <c r="O38" s="113"/>
      <c r="P38" s="113"/>
      <c r="Q38" s="113"/>
      <c r="R38" s="113"/>
      <c r="S38" s="113"/>
      <c r="T38" s="23">
        <f t="shared" si="1"/>
        <v>2350</v>
      </c>
      <c r="U38" s="23">
        <f t="shared" si="1"/>
        <v>2415.7</v>
      </c>
      <c r="V38" s="173"/>
    </row>
    <row r="39" spans="1:22" s="104" customFormat="1" ht="36" customHeight="1">
      <c r="A39" s="53">
        <v>4</v>
      </c>
      <c r="B39" s="9"/>
      <c r="C39" s="6" t="s">
        <v>26</v>
      </c>
      <c r="D39" s="11" t="s">
        <v>27</v>
      </c>
      <c r="E39" s="9">
        <v>112</v>
      </c>
      <c r="F39" s="21" t="s">
        <v>28</v>
      </c>
      <c r="G39" s="7" t="s">
        <v>21</v>
      </c>
      <c r="H39" s="157"/>
      <c r="I39" s="157"/>
      <c r="J39" s="113"/>
      <c r="K39" s="157"/>
      <c r="L39" s="157"/>
      <c r="M39" s="113"/>
      <c r="N39" s="157"/>
      <c r="O39" s="157"/>
      <c r="P39" s="113"/>
      <c r="Q39" s="157"/>
      <c r="R39" s="157"/>
      <c r="S39" s="113"/>
      <c r="T39" s="157">
        <f t="shared" si="1"/>
        <v>1986.8200000000002</v>
      </c>
      <c r="U39" s="157">
        <f t="shared" si="1"/>
        <v>2047.0723</v>
      </c>
      <c r="V39" s="188"/>
    </row>
    <row r="40" spans="1:22" ht="13.5" customHeight="1">
      <c r="A40" s="53">
        <v>5</v>
      </c>
      <c r="B40" s="9"/>
      <c r="C40" s="9"/>
      <c r="D40" s="10" t="s">
        <v>29</v>
      </c>
      <c r="E40" s="9"/>
      <c r="F40" s="10" t="s">
        <v>30</v>
      </c>
      <c r="G40" s="9" t="s">
        <v>21</v>
      </c>
      <c r="H40" s="23"/>
      <c r="I40" s="113"/>
      <c r="J40" s="113"/>
      <c r="K40" s="23"/>
      <c r="L40" s="113"/>
      <c r="M40" s="113"/>
      <c r="N40" s="23"/>
      <c r="O40" s="113"/>
      <c r="P40" s="113"/>
      <c r="Q40" s="23"/>
      <c r="R40" s="113"/>
      <c r="S40" s="113"/>
      <c r="T40" s="23">
        <f t="shared" si="1"/>
        <v>2230</v>
      </c>
      <c r="U40" s="23">
        <f t="shared" si="1"/>
        <v>2293.8999999999996</v>
      </c>
      <c r="V40" s="173"/>
    </row>
    <row r="41" spans="1:22" ht="13.5" customHeight="1">
      <c r="A41" s="53">
        <v>6</v>
      </c>
      <c r="B41" s="9"/>
      <c r="C41" s="9"/>
      <c r="D41" s="10" t="s">
        <v>29</v>
      </c>
      <c r="E41" s="9"/>
      <c r="F41" s="10" t="s">
        <v>31</v>
      </c>
      <c r="G41" s="9" t="s">
        <v>21</v>
      </c>
      <c r="H41" s="23"/>
      <c r="I41" s="113"/>
      <c r="J41" s="113"/>
      <c r="K41" s="23"/>
      <c r="L41" s="113"/>
      <c r="M41" s="113"/>
      <c r="N41" s="23"/>
      <c r="O41" s="113"/>
      <c r="P41" s="113"/>
      <c r="Q41" s="23"/>
      <c r="R41" s="113"/>
      <c r="S41" s="113"/>
      <c r="T41" s="23">
        <f t="shared" si="1"/>
        <v>2042</v>
      </c>
      <c r="U41" s="23">
        <f t="shared" si="1"/>
        <v>2103.08</v>
      </c>
      <c r="V41" s="173"/>
    </row>
    <row r="42" spans="1:22" ht="13.5" customHeight="1">
      <c r="A42" s="53">
        <v>7</v>
      </c>
      <c r="B42" s="9"/>
      <c r="C42" s="9"/>
      <c r="D42" s="10" t="s">
        <v>29</v>
      </c>
      <c r="E42" s="9"/>
      <c r="F42" s="10" t="s">
        <v>32</v>
      </c>
      <c r="G42" s="9" t="s">
        <v>21</v>
      </c>
      <c r="H42" s="23"/>
      <c r="I42" s="113"/>
      <c r="J42" s="113"/>
      <c r="K42" s="23"/>
      <c r="L42" s="113"/>
      <c r="M42" s="113"/>
      <c r="N42" s="23"/>
      <c r="O42" s="113"/>
      <c r="P42" s="113"/>
      <c r="Q42" s="23"/>
      <c r="R42" s="113"/>
      <c r="S42" s="113"/>
      <c r="T42" s="23">
        <f t="shared" si="1"/>
        <v>1876</v>
      </c>
      <c r="U42" s="23">
        <f t="shared" si="1"/>
        <v>1934.59</v>
      </c>
      <c r="V42" s="173"/>
    </row>
    <row r="43" spans="1:22" ht="13.5" customHeight="1">
      <c r="A43" s="53">
        <v>8</v>
      </c>
      <c r="B43" s="9"/>
      <c r="C43" s="9"/>
      <c r="D43" s="10" t="s">
        <v>29</v>
      </c>
      <c r="E43" s="9"/>
      <c r="F43" s="10" t="s">
        <v>33</v>
      </c>
      <c r="G43" s="9" t="s">
        <v>21</v>
      </c>
      <c r="H43" s="23"/>
      <c r="I43" s="113"/>
      <c r="J43" s="113"/>
      <c r="K43" s="23"/>
      <c r="L43" s="113"/>
      <c r="M43" s="113"/>
      <c r="N43" s="23"/>
      <c r="O43" s="113"/>
      <c r="P43" s="113"/>
      <c r="Q43" s="23"/>
      <c r="R43" s="113"/>
      <c r="S43" s="113"/>
      <c r="T43" s="23">
        <f t="shared" si="1"/>
        <v>1992</v>
      </c>
      <c r="U43" s="23">
        <f t="shared" si="1"/>
        <v>2052.33</v>
      </c>
      <c r="V43" s="173"/>
    </row>
    <row r="44" spans="1:22" s="104" customFormat="1" ht="24" customHeight="1">
      <c r="A44" s="53">
        <v>9</v>
      </c>
      <c r="B44" s="9"/>
      <c r="C44" s="6" t="s">
        <v>34</v>
      </c>
      <c r="D44" s="11" t="s">
        <v>35</v>
      </c>
      <c r="E44" s="9">
        <v>182</v>
      </c>
      <c r="F44" s="21" t="s">
        <v>36</v>
      </c>
      <c r="G44" s="7" t="s">
        <v>21</v>
      </c>
      <c r="H44" s="157"/>
      <c r="I44" s="157"/>
      <c r="J44" s="113"/>
      <c r="K44" s="157"/>
      <c r="L44" s="157"/>
      <c r="M44" s="113"/>
      <c r="N44" s="157"/>
      <c r="O44" s="157"/>
      <c r="P44" s="113"/>
      <c r="Q44" s="157"/>
      <c r="R44" s="157"/>
      <c r="S44" s="113"/>
      <c r="T44" s="157">
        <f t="shared" si="1"/>
        <v>2246.3</v>
      </c>
      <c r="U44" s="157">
        <f t="shared" si="1"/>
        <v>2310.4445</v>
      </c>
      <c r="V44" s="188"/>
    </row>
    <row r="45" spans="1:22" ht="13.5" customHeight="1">
      <c r="A45" s="53">
        <v>10</v>
      </c>
      <c r="B45" s="9"/>
      <c r="C45" s="9"/>
      <c r="D45" s="10" t="s">
        <v>37</v>
      </c>
      <c r="E45" s="9"/>
      <c r="F45" s="13" t="s">
        <v>38</v>
      </c>
      <c r="G45" s="9" t="s">
        <v>21</v>
      </c>
      <c r="H45" s="23"/>
      <c r="I45" s="113"/>
      <c r="J45" s="113"/>
      <c r="K45" s="23"/>
      <c r="L45" s="113"/>
      <c r="M45" s="113"/>
      <c r="N45" s="23"/>
      <c r="O45" s="113"/>
      <c r="P45" s="113"/>
      <c r="Q45" s="23"/>
      <c r="R45" s="113"/>
      <c r="S45" s="113"/>
      <c r="T45" s="23">
        <f t="shared" si="1"/>
        <v>2200</v>
      </c>
      <c r="U45" s="23">
        <f t="shared" si="1"/>
        <v>2263.45</v>
      </c>
      <c r="V45" s="173"/>
    </row>
    <row r="46" spans="1:22" ht="13.5" customHeight="1">
      <c r="A46" s="53">
        <v>11</v>
      </c>
      <c r="B46" s="9"/>
      <c r="C46" s="9"/>
      <c r="D46" s="10" t="s">
        <v>39</v>
      </c>
      <c r="E46" s="9"/>
      <c r="F46" s="13" t="s">
        <v>40</v>
      </c>
      <c r="G46" s="9" t="s">
        <v>21</v>
      </c>
      <c r="H46" s="23"/>
      <c r="I46" s="113"/>
      <c r="J46" s="113"/>
      <c r="K46" s="23"/>
      <c r="L46" s="113"/>
      <c r="M46" s="113"/>
      <c r="N46" s="23"/>
      <c r="O46" s="113"/>
      <c r="P46" s="113"/>
      <c r="Q46" s="23"/>
      <c r="R46" s="113"/>
      <c r="S46" s="113"/>
      <c r="T46" s="23">
        <f t="shared" si="1"/>
        <v>2270</v>
      </c>
      <c r="U46" s="23">
        <f t="shared" si="1"/>
        <v>2334.5</v>
      </c>
      <c r="V46" s="173"/>
    </row>
    <row r="47" spans="1:22" ht="13.5" customHeight="1">
      <c r="A47" s="53">
        <v>12</v>
      </c>
      <c r="B47" s="9"/>
      <c r="C47" s="9"/>
      <c r="D47" s="10" t="s">
        <v>41</v>
      </c>
      <c r="E47" s="9"/>
      <c r="F47" s="13" t="s">
        <v>42</v>
      </c>
      <c r="G47" s="9" t="s">
        <v>21</v>
      </c>
      <c r="H47" s="23"/>
      <c r="I47" s="113"/>
      <c r="J47" s="113"/>
      <c r="K47" s="23"/>
      <c r="L47" s="113"/>
      <c r="M47" s="113"/>
      <c r="N47" s="23"/>
      <c r="O47" s="113"/>
      <c r="P47" s="113"/>
      <c r="Q47" s="23"/>
      <c r="R47" s="113"/>
      <c r="S47" s="113"/>
      <c r="T47" s="23">
        <f t="shared" si="1"/>
        <v>2190</v>
      </c>
      <c r="U47" s="23">
        <f t="shared" si="1"/>
        <v>2253.2999999999997</v>
      </c>
      <c r="V47" s="173"/>
    </row>
    <row r="48" spans="1:22" ht="13.5" customHeight="1">
      <c r="A48" s="53">
        <v>13</v>
      </c>
      <c r="B48" s="9"/>
      <c r="C48" s="6" t="s">
        <v>43</v>
      </c>
      <c r="D48" s="9"/>
      <c r="E48" s="9">
        <v>183</v>
      </c>
      <c r="F48" s="13" t="s">
        <v>44</v>
      </c>
      <c r="G48" s="9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23">
        <f t="shared" si="1"/>
        <v>2173</v>
      </c>
      <c r="U48" s="23">
        <f t="shared" si="1"/>
        <v>2236.0449999999996</v>
      </c>
      <c r="V48" s="173"/>
    </row>
    <row r="49" spans="1:22" s="104" customFormat="1" ht="24" customHeight="1">
      <c r="A49" s="53">
        <v>14</v>
      </c>
      <c r="B49" s="9"/>
      <c r="C49" s="6" t="s">
        <v>45</v>
      </c>
      <c r="D49" s="11" t="s">
        <v>46</v>
      </c>
      <c r="E49" s="25"/>
      <c r="F49" s="21" t="s">
        <v>47</v>
      </c>
      <c r="G49" s="7" t="s">
        <v>21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>
        <f t="shared" si="1"/>
        <v>2390</v>
      </c>
      <c r="U49" s="157">
        <f t="shared" si="1"/>
        <v>2456.2999999999993</v>
      </c>
      <c r="V49" s="188"/>
    </row>
    <row r="50" spans="1:22" ht="13.5" customHeight="1">
      <c r="A50" s="53">
        <v>15</v>
      </c>
      <c r="B50" s="9"/>
      <c r="C50" s="9"/>
      <c r="D50" s="10" t="s">
        <v>48</v>
      </c>
      <c r="E50" s="25"/>
      <c r="F50" s="10" t="s">
        <v>49</v>
      </c>
      <c r="G50" s="9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23">
        <f t="shared" si="1"/>
        <v>2284</v>
      </c>
      <c r="U50" s="23">
        <f t="shared" si="1"/>
        <v>2348.7099999999996</v>
      </c>
      <c r="V50" s="173"/>
    </row>
    <row r="51" spans="1:22" ht="13.5" customHeight="1">
      <c r="A51" s="53">
        <v>16</v>
      </c>
      <c r="B51" s="9"/>
      <c r="C51" s="9"/>
      <c r="D51" s="10" t="s">
        <v>50</v>
      </c>
      <c r="E51" s="25">
        <v>192</v>
      </c>
      <c r="F51" s="10" t="s">
        <v>51</v>
      </c>
      <c r="G51" s="9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23">
        <f t="shared" si="1"/>
        <v>2458</v>
      </c>
      <c r="U51" s="23">
        <f t="shared" si="1"/>
        <v>2525.3199999999997</v>
      </c>
      <c r="V51" s="173"/>
    </row>
    <row r="52" spans="1:22" ht="13.5" customHeight="1">
      <c r="A52" s="53">
        <v>17</v>
      </c>
      <c r="B52" s="9"/>
      <c r="C52" s="9"/>
      <c r="D52" s="10" t="s">
        <v>52</v>
      </c>
      <c r="E52" s="25">
        <v>191</v>
      </c>
      <c r="F52" s="10" t="s">
        <v>53</v>
      </c>
      <c r="G52" s="9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23">
        <f aca="true" t="shared" si="2" ref="T52:U62">AVERAGE(H21,K21,N21,Q21,T21,H52,K52,N52)</f>
        <v>2640</v>
      </c>
      <c r="U52" s="23">
        <f t="shared" si="2"/>
        <v>2710.0499999999997</v>
      </c>
      <c r="V52" s="173"/>
    </row>
    <row r="53" spans="1:22" ht="13.5" customHeight="1">
      <c r="A53" s="53">
        <v>18</v>
      </c>
      <c r="B53" s="9"/>
      <c r="C53" s="10" t="s">
        <v>54</v>
      </c>
      <c r="D53" s="13"/>
      <c r="E53" s="9">
        <v>121</v>
      </c>
      <c r="F53" s="13"/>
      <c r="G53" s="9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23">
        <f t="shared" si="2"/>
        <v>3890</v>
      </c>
      <c r="U53" s="23">
        <f t="shared" si="2"/>
        <v>3978.7999999999997</v>
      </c>
      <c r="V53" s="173"/>
    </row>
    <row r="54" spans="1:22" ht="13.5" customHeight="1">
      <c r="A54" s="53">
        <v>19</v>
      </c>
      <c r="B54" s="9"/>
      <c r="C54" s="10" t="s">
        <v>55</v>
      </c>
      <c r="D54" s="13"/>
      <c r="E54" s="9">
        <v>125</v>
      </c>
      <c r="F54" s="10" t="s">
        <v>56</v>
      </c>
      <c r="G54" s="9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23">
        <f t="shared" si="2"/>
        <v>3490</v>
      </c>
      <c r="U54" s="23">
        <f t="shared" si="2"/>
        <v>3572.7999999999997</v>
      </c>
      <c r="V54" s="173"/>
    </row>
    <row r="55" spans="1:22" s="104" customFormat="1" ht="24" customHeight="1">
      <c r="A55" s="53">
        <v>20</v>
      </c>
      <c r="B55" s="6" t="s">
        <v>57</v>
      </c>
      <c r="C55" s="11" t="s">
        <v>58</v>
      </c>
      <c r="D55" s="14"/>
      <c r="E55" s="7"/>
      <c r="F55" s="21" t="s">
        <v>59</v>
      </c>
      <c r="G55" s="7" t="s">
        <v>21</v>
      </c>
      <c r="H55" s="157">
        <f>H57*0.75+H59*0.25</f>
        <v>253.75</v>
      </c>
      <c r="I55" s="157">
        <f>I57*0.75+I59*0.25</f>
        <v>270.3833125</v>
      </c>
      <c r="J55" s="157"/>
      <c r="K55" s="157">
        <f>K57*0.75+K59*0.25</f>
        <v>260.5</v>
      </c>
      <c r="L55" s="157">
        <f>L57*0.75+L59*0.25</f>
        <v>277.303075</v>
      </c>
      <c r="M55" s="157"/>
      <c r="N55" s="157">
        <f>N57*0.75+N59*0.25</f>
        <v>292.75</v>
      </c>
      <c r="O55" s="157">
        <f>O57*0.75+O59*0.25</f>
        <v>310.36416249999996</v>
      </c>
      <c r="P55" s="157"/>
      <c r="Q55" s="157"/>
      <c r="R55" s="157"/>
      <c r="S55" s="157"/>
      <c r="T55" s="157">
        <f t="shared" si="2"/>
        <v>262.4375</v>
      </c>
      <c r="U55" s="157">
        <f t="shared" si="2"/>
        <v>279.28930312499995</v>
      </c>
      <c r="V55" s="173"/>
    </row>
    <row r="56" spans="1:22" ht="13.5" customHeight="1">
      <c r="A56" s="53">
        <v>21</v>
      </c>
      <c r="B56" s="9"/>
      <c r="C56" s="13" t="s">
        <v>60</v>
      </c>
      <c r="D56" s="13"/>
      <c r="E56" s="9">
        <v>832</v>
      </c>
      <c r="F56" s="10" t="s">
        <v>61</v>
      </c>
      <c r="G56" s="9" t="s">
        <v>21</v>
      </c>
      <c r="H56" s="378">
        <v>268</v>
      </c>
      <c r="I56" s="327">
        <f>(H56+10)*1.015*1.01</f>
        <v>284.9917</v>
      </c>
      <c r="J56" s="382"/>
      <c r="K56" s="383">
        <v>302</v>
      </c>
      <c r="L56" s="327">
        <f>(K56+10)*1.015*1.01</f>
        <v>319.8468</v>
      </c>
      <c r="M56" s="382"/>
      <c r="N56" s="336">
        <v>302</v>
      </c>
      <c r="O56" s="327">
        <f>(N56+10)*1.015*1.01</f>
        <v>319.8468</v>
      </c>
      <c r="P56" s="150" t="s">
        <v>99</v>
      </c>
      <c r="Q56" s="150"/>
      <c r="R56" s="150"/>
      <c r="S56" s="150"/>
      <c r="T56" s="23">
        <f t="shared" si="2"/>
        <v>282</v>
      </c>
      <c r="U56" s="23">
        <f t="shared" si="2"/>
        <v>299.3438</v>
      </c>
      <c r="V56" s="173"/>
    </row>
    <row r="57" spans="1:22" ht="13.5" customHeight="1">
      <c r="A57" s="53">
        <v>22</v>
      </c>
      <c r="B57" s="9"/>
      <c r="C57" s="13" t="s">
        <v>60</v>
      </c>
      <c r="D57" s="13"/>
      <c r="E57" s="9"/>
      <c r="F57" s="10" t="s">
        <v>62</v>
      </c>
      <c r="G57" s="9" t="s">
        <v>21</v>
      </c>
      <c r="H57" s="378">
        <v>244</v>
      </c>
      <c r="I57" s="327">
        <f>(H57+10)*1.015*1.01</f>
        <v>260.3881</v>
      </c>
      <c r="J57" s="382"/>
      <c r="K57" s="383">
        <v>253</v>
      </c>
      <c r="L57" s="327">
        <f>(K57+10)*1.015*1.01</f>
        <v>269.61445</v>
      </c>
      <c r="M57" s="382"/>
      <c r="N57" s="336">
        <v>283</v>
      </c>
      <c r="O57" s="327">
        <f>(N57+10)*1.015*1.01</f>
        <v>300.36895</v>
      </c>
      <c r="P57" s="150" t="s">
        <v>99</v>
      </c>
      <c r="Q57" s="150"/>
      <c r="R57" s="150"/>
      <c r="S57" s="150"/>
      <c r="T57" s="23">
        <f t="shared" si="2"/>
        <v>254.5</v>
      </c>
      <c r="U57" s="23">
        <f t="shared" si="2"/>
        <v>271.152175</v>
      </c>
      <c r="V57" s="173"/>
    </row>
    <row r="58" spans="1:22" ht="13.5" customHeight="1">
      <c r="A58" s="53">
        <v>23</v>
      </c>
      <c r="B58" s="9"/>
      <c r="C58" s="13" t="s">
        <v>63</v>
      </c>
      <c r="D58" s="13"/>
      <c r="E58" s="9">
        <v>833</v>
      </c>
      <c r="F58" s="10" t="s">
        <v>61</v>
      </c>
      <c r="G58" s="9" t="s">
        <v>21</v>
      </c>
      <c r="H58" s="378">
        <v>307</v>
      </c>
      <c r="I58" s="327">
        <f>(H58+10)*1.015*1.01</f>
        <v>324.97255</v>
      </c>
      <c r="J58" s="382"/>
      <c r="K58" s="383">
        <v>331</v>
      </c>
      <c r="L58" s="327">
        <f>(K58+10)*1.015*1.01</f>
        <v>349.5761499999999</v>
      </c>
      <c r="M58" s="382"/>
      <c r="N58" s="336">
        <v>341</v>
      </c>
      <c r="O58" s="327">
        <f>(N58+10)*1.015*1.01</f>
        <v>359.82765</v>
      </c>
      <c r="P58" s="150" t="s">
        <v>99</v>
      </c>
      <c r="Q58" s="150"/>
      <c r="R58" s="150"/>
      <c r="S58" s="150"/>
      <c r="T58" s="23">
        <f t="shared" si="2"/>
        <v>313.5</v>
      </c>
      <c r="U58" s="23">
        <f t="shared" si="2"/>
        <v>331.636025</v>
      </c>
      <c r="V58" s="173"/>
    </row>
    <row r="59" spans="1:22" ht="13.5" customHeight="1">
      <c r="A59" s="53">
        <v>24</v>
      </c>
      <c r="B59" s="9"/>
      <c r="C59" s="13" t="s">
        <v>63</v>
      </c>
      <c r="D59" s="13"/>
      <c r="E59" s="9"/>
      <c r="F59" s="10" t="s">
        <v>62</v>
      </c>
      <c r="G59" s="9" t="s">
        <v>21</v>
      </c>
      <c r="H59" s="378">
        <v>283</v>
      </c>
      <c r="I59" s="327">
        <f>(H59+10)*1.015*1.01</f>
        <v>300.36895</v>
      </c>
      <c r="J59" s="382"/>
      <c r="K59" s="383">
        <v>283</v>
      </c>
      <c r="L59" s="327">
        <f>(K59+10)*1.015*1.01</f>
        <v>300.36895</v>
      </c>
      <c r="M59" s="382"/>
      <c r="N59" s="336">
        <v>322</v>
      </c>
      <c r="O59" s="327">
        <f>(N59+10)*1.015*1.01</f>
        <v>340.34979999999996</v>
      </c>
      <c r="P59" s="150" t="s">
        <v>99</v>
      </c>
      <c r="Q59" s="150"/>
      <c r="R59" s="150"/>
      <c r="S59" s="150"/>
      <c r="T59" s="23">
        <f t="shared" si="2"/>
        <v>286.25</v>
      </c>
      <c r="U59" s="23">
        <f t="shared" si="2"/>
        <v>303.70068749999996</v>
      </c>
      <c r="V59" s="173"/>
    </row>
    <row r="60" spans="1:22" s="210" customFormat="1" ht="13.5" customHeight="1" hidden="1">
      <c r="A60" s="53">
        <v>25</v>
      </c>
      <c r="B60" s="6" t="s">
        <v>64</v>
      </c>
      <c r="C60" s="15" t="s">
        <v>65</v>
      </c>
      <c r="D60" s="16"/>
      <c r="E60" s="26"/>
      <c r="F60" s="27" t="s">
        <v>66</v>
      </c>
      <c r="G60" s="26" t="s">
        <v>67</v>
      </c>
      <c r="H60" s="148"/>
      <c r="I60" s="38">
        <v>6.37</v>
      </c>
      <c r="J60" s="381"/>
      <c r="K60" s="148"/>
      <c r="L60" s="38">
        <v>6.37</v>
      </c>
      <c r="M60" s="381"/>
      <c r="N60" s="148"/>
      <c r="O60" s="38">
        <v>6.37</v>
      </c>
      <c r="P60" s="381"/>
      <c r="Q60" s="148"/>
      <c r="R60" s="392"/>
      <c r="S60" s="381"/>
      <c r="T60" s="150"/>
      <c r="U60" s="150">
        <f t="shared" si="2"/>
        <v>7.340375</v>
      </c>
      <c r="V60" s="150"/>
    </row>
    <row r="61" spans="1:22" s="210" customFormat="1" ht="13.5" customHeight="1" hidden="1">
      <c r="A61" s="53">
        <v>26</v>
      </c>
      <c r="B61" s="6"/>
      <c r="C61" s="15" t="s">
        <v>65</v>
      </c>
      <c r="D61" s="16"/>
      <c r="E61" s="26">
        <v>862</v>
      </c>
      <c r="F61" s="27" t="s">
        <v>68</v>
      </c>
      <c r="G61" s="26" t="s">
        <v>67</v>
      </c>
      <c r="H61" s="148"/>
      <c r="I61" s="38">
        <v>6.75</v>
      </c>
      <c r="J61" s="381"/>
      <c r="K61" s="148"/>
      <c r="L61" s="38">
        <v>6.75</v>
      </c>
      <c r="M61" s="381"/>
      <c r="N61" s="148"/>
      <c r="O61" s="38">
        <v>6.75</v>
      </c>
      <c r="P61" s="381"/>
      <c r="Q61" s="148"/>
      <c r="R61" s="392"/>
      <c r="S61" s="381"/>
      <c r="T61" s="157"/>
      <c r="U61" s="395">
        <f t="shared" si="2"/>
        <v>7.625375</v>
      </c>
      <c r="V61" s="189"/>
    </row>
    <row r="62" spans="1:22" s="210" customFormat="1" ht="21" customHeight="1" hidden="1">
      <c r="A62" s="53">
        <v>27</v>
      </c>
      <c r="B62" s="17"/>
      <c r="C62" s="10" t="s">
        <v>69</v>
      </c>
      <c r="D62" s="18"/>
      <c r="E62" s="26">
        <v>863</v>
      </c>
      <c r="F62" s="27" t="s">
        <v>70</v>
      </c>
      <c r="G62" s="26" t="s">
        <v>67</v>
      </c>
      <c r="H62" s="148"/>
      <c r="I62" s="38">
        <v>5.75</v>
      </c>
      <c r="J62" s="381"/>
      <c r="K62" s="148"/>
      <c r="L62" s="38">
        <v>5.75</v>
      </c>
      <c r="M62" s="381"/>
      <c r="N62" s="148"/>
      <c r="O62" s="38">
        <v>5.75</v>
      </c>
      <c r="P62" s="381"/>
      <c r="Q62" s="148"/>
      <c r="R62" s="392"/>
      <c r="S62" s="381"/>
      <c r="T62" s="157"/>
      <c r="U62" s="395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19"/>
      <c r="C3" s="19"/>
      <c r="D3" s="19"/>
      <c r="E3" s="19"/>
      <c r="F3" s="19"/>
      <c r="G3" s="19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55"/>
      <c r="N4" s="344" t="s">
        <v>102</v>
      </c>
      <c r="O4" s="348"/>
      <c r="P4" s="355"/>
      <c r="Q4" s="344" t="s">
        <v>103</v>
      </c>
      <c r="R4" s="348"/>
      <c r="S4" s="355"/>
      <c r="T4" s="344" t="s">
        <v>104</v>
      </c>
      <c r="U4" s="348"/>
      <c r="V4" s="355"/>
      <c r="W4" s="362"/>
      <c r="X4" s="362" t="s">
        <v>105</v>
      </c>
      <c r="Y4" s="129" t="s">
        <v>15</v>
      </c>
    </row>
    <row r="5" spans="1:25" ht="21.75" customHeight="1">
      <c r="A5" s="53"/>
      <c r="B5" s="53"/>
      <c r="C5" s="108"/>
      <c r="D5" s="109"/>
      <c r="E5" s="53"/>
      <c r="F5" s="53"/>
      <c r="G5" s="53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4"/>
    </row>
    <row r="6" spans="1:25" s="104" customFormat="1" ht="23.25" customHeight="1">
      <c r="A6" s="7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7" t="s">
        <v>21</v>
      </c>
      <c r="H6" s="343">
        <f>H7*0.8+H8*0.2</f>
        <v>2253.2000000000003</v>
      </c>
      <c r="I6" s="343">
        <f>I7*0.8+I8*0.2</f>
        <v>2317.448</v>
      </c>
      <c r="J6" s="30"/>
      <c r="K6" s="349"/>
      <c r="L6" s="349"/>
      <c r="M6" s="356"/>
      <c r="N6" s="29"/>
      <c r="O6" s="22"/>
      <c r="P6" s="29"/>
      <c r="Q6" s="29"/>
      <c r="R6" s="22"/>
      <c r="S6" s="29"/>
      <c r="T6" s="29"/>
      <c r="U6" s="29"/>
      <c r="V6" s="29"/>
      <c r="Y6" s="235">
        <v>3370</v>
      </c>
    </row>
    <row r="7" spans="1:25" ht="25.5" customHeight="1">
      <c r="A7" s="9">
        <v>2</v>
      </c>
      <c r="B7" s="9"/>
      <c r="C7" s="9"/>
      <c r="D7" s="10" t="s">
        <v>22</v>
      </c>
      <c r="E7" s="9"/>
      <c r="F7" s="10" t="s">
        <v>23</v>
      </c>
      <c r="G7" s="9" t="s">
        <v>21</v>
      </c>
      <c r="H7" s="23">
        <v>2251</v>
      </c>
      <c r="I7" s="23">
        <f aca="true" t="shared" si="0" ref="I7:I24">(H7+30)*1.015</f>
        <v>2315.2149999999997</v>
      </c>
      <c r="J7" s="31"/>
      <c r="K7" s="350"/>
      <c r="L7" s="23"/>
      <c r="M7" s="350"/>
      <c r="N7" s="34"/>
      <c r="O7" s="23"/>
      <c r="P7" s="34"/>
      <c r="Q7" s="34"/>
      <c r="R7" s="23"/>
      <c r="S7" s="34"/>
      <c r="T7" s="34"/>
      <c r="U7" s="23"/>
      <c r="V7" s="34"/>
      <c r="Y7" s="235">
        <v>3370</v>
      </c>
    </row>
    <row r="8" spans="1:25" ht="12" customHeight="1">
      <c r="A8" s="9">
        <v>3</v>
      </c>
      <c r="B8" s="9"/>
      <c r="C8" s="9"/>
      <c r="D8" s="10" t="s">
        <v>24</v>
      </c>
      <c r="E8" s="9"/>
      <c r="F8" s="10" t="s">
        <v>25</v>
      </c>
      <c r="G8" s="9" t="s">
        <v>21</v>
      </c>
      <c r="H8" s="23">
        <v>2262</v>
      </c>
      <c r="I8" s="23">
        <f t="shared" si="0"/>
        <v>2326.3799999999997</v>
      </c>
      <c r="J8" s="32" t="s">
        <v>89</v>
      </c>
      <c r="K8" s="351"/>
      <c r="L8" s="350"/>
      <c r="M8" s="351"/>
      <c r="N8" s="34"/>
      <c r="O8" s="23"/>
      <c r="P8" s="34"/>
      <c r="Q8" s="34"/>
      <c r="R8" s="23"/>
      <c r="S8" s="34"/>
      <c r="T8" s="34"/>
      <c r="U8" s="23"/>
      <c r="V8" s="34"/>
      <c r="Y8" s="235">
        <v>3370</v>
      </c>
    </row>
    <row r="9" spans="1:25" s="104" customFormat="1" ht="33" customHeight="1">
      <c r="A9" s="7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7" t="s">
        <v>21</v>
      </c>
      <c r="H9" s="82">
        <f>H10*0.03+H11*0.38+H12*0.27+H13*0.32</f>
        <v>2113.8</v>
      </c>
      <c r="I9" s="82">
        <f>I10*0.03+I11*0.38+I12*0.27+I13*0.32</f>
        <v>2175.957</v>
      </c>
      <c r="J9" s="201"/>
      <c r="K9" s="349"/>
      <c r="L9" s="349"/>
      <c r="M9" s="349"/>
      <c r="N9" s="29"/>
      <c r="O9" s="22"/>
      <c r="P9" s="29"/>
      <c r="Q9" s="29"/>
      <c r="R9" s="22"/>
      <c r="S9" s="29"/>
      <c r="T9" s="29"/>
      <c r="U9" s="29"/>
      <c r="V9" s="29"/>
      <c r="Y9" s="235">
        <f>(Y10*0.03+Y11*0.38+Y12*0.27+Y13*0.32)</f>
        <v>3095.2</v>
      </c>
    </row>
    <row r="10" spans="1:26" ht="15" customHeight="1">
      <c r="A10" s="9">
        <v>5</v>
      </c>
      <c r="B10" s="9"/>
      <c r="C10" s="9"/>
      <c r="D10" s="10" t="s">
        <v>29</v>
      </c>
      <c r="E10" s="9"/>
      <c r="F10" s="10" t="s">
        <v>30</v>
      </c>
      <c r="G10" s="9" t="s">
        <v>21</v>
      </c>
      <c r="H10" s="23">
        <v>2196</v>
      </c>
      <c r="I10" s="23">
        <f t="shared" si="0"/>
        <v>2259.39</v>
      </c>
      <c r="J10" s="185" t="s">
        <v>90</v>
      </c>
      <c r="K10" s="351"/>
      <c r="L10" s="350"/>
      <c r="M10" s="357"/>
      <c r="N10" s="34"/>
      <c r="O10" s="23"/>
      <c r="P10" s="34"/>
      <c r="Q10" s="34"/>
      <c r="R10" s="23"/>
      <c r="S10" s="34"/>
      <c r="T10" s="34"/>
      <c r="U10" s="23"/>
      <c r="V10" s="34"/>
      <c r="Y10" s="345">
        <v>3120</v>
      </c>
      <c r="Z10" s="365">
        <f>Y10-H10</f>
        <v>924</v>
      </c>
    </row>
    <row r="11" spans="1:26" ht="15" customHeight="1">
      <c r="A11" s="9">
        <v>6</v>
      </c>
      <c r="B11" s="9"/>
      <c r="C11" s="9"/>
      <c r="D11" s="10" t="s">
        <v>29</v>
      </c>
      <c r="E11" s="9"/>
      <c r="F11" s="10" t="s">
        <v>31</v>
      </c>
      <c r="G11" s="9" t="s">
        <v>21</v>
      </c>
      <c r="H11" s="23">
        <v>2186</v>
      </c>
      <c r="I11" s="23">
        <f t="shared" si="0"/>
        <v>2249.24</v>
      </c>
      <c r="J11" s="185" t="s">
        <v>90</v>
      </c>
      <c r="K11" s="352"/>
      <c r="L11" s="350"/>
      <c r="M11" s="357"/>
      <c r="N11" s="34"/>
      <c r="O11" s="23"/>
      <c r="P11" s="34"/>
      <c r="Q11" s="34"/>
      <c r="R11" s="23"/>
      <c r="S11" s="34"/>
      <c r="T11" s="34"/>
      <c r="U11" s="23"/>
      <c r="V11" s="34"/>
      <c r="Y11" s="345">
        <v>3100</v>
      </c>
      <c r="Z11" s="365">
        <f aca="true" t="shared" si="1" ref="Z11:Z24">Y11-H11</f>
        <v>914</v>
      </c>
    </row>
    <row r="12" spans="1:26" ht="15" customHeight="1">
      <c r="A12" s="9">
        <v>7</v>
      </c>
      <c r="B12" s="9"/>
      <c r="C12" s="9"/>
      <c r="D12" s="10" t="s">
        <v>29</v>
      </c>
      <c r="E12" s="9"/>
      <c r="F12" s="10" t="s">
        <v>32</v>
      </c>
      <c r="G12" s="9" t="s">
        <v>21</v>
      </c>
      <c r="H12" s="23">
        <v>2036</v>
      </c>
      <c r="I12" s="23">
        <f t="shared" si="0"/>
        <v>2096.99</v>
      </c>
      <c r="J12" s="185" t="s">
        <v>90</v>
      </c>
      <c r="K12" s="351"/>
      <c r="L12" s="350"/>
      <c r="M12" s="357"/>
      <c r="N12" s="34"/>
      <c r="O12" s="23"/>
      <c r="P12" s="34"/>
      <c r="Q12" s="34"/>
      <c r="R12" s="23"/>
      <c r="S12" s="34"/>
      <c r="T12" s="34"/>
      <c r="U12" s="23"/>
      <c r="V12" s="34"/>
      <c r="Y12" s="345">
        <v>3080</v>
      </c>
      <c r="Z12" s="365">
        <f t="shared" si="1"/>
        <v>1044</v>
      </c>
    </row>
    <row r="13" spans="1:26" ht="15" customHeight="1">
      <c r="A13" s="9">
        <v>8</v>
      </c>
      <c r="B13" s="9"/>
      <c r="C13" s="9"/>
      <c r="D13" s="10" t="s">
        <v>29</v>
      </c>
      <c r="E13" s="9"/>
      <c r="F13" s="10" t="s">
        <v>33</v>
      </c>
      <c r="G13" s="9" t="s">
        <v>21</v>
      </c>
      <c r="H13" s="23">
        <v>2086</v>
      </c>
      <c r="I13" s="23">
        <f t="shared" si="0"/>
        <v>2147.74</v>
      </c>
      <c r="J13" s="185" t="s">
        <v>90</v>
      </c>
      <c r="K13" s="351"/>
      <c r="L13" s="350"/>
      <c r="M13" s="357"/>
      <c r="N13" s="34"/>
      <c r="O13" s="23"/>
      <c r="P13" s="34"/>
      <c r="Q13" s="34"/>
      <c r="R13" s="23"/>
      <c r="S13" s="34"/>
      <c r="T13" s="34"/>
      <c r="U13" s="23"/>
      <c r="V13" s="34"/>
      <c r="Y13" s="345">
        <v>3100</v>
      </c>
      <c r="Z13" s="365">
        <f t="shared" si="1"/>
        <v>1014</v>
      </c>
    </row>
    <row r="14" spans="1:26" s="104" customFormat="1" ht="22.5" customHeight="1">
      <c r="A14" s="9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7" t="s">
        <v>21</v>
      </c>
      <c r="H14" s="195">
        <f>H15*0.27+H16*0.67+H18*0.06</f>
        <v>2166.1600000000003</v>
      </c>
      <c r="I14" s="195">
        <f>I15*0.27+I16*0.67+I18*0.06</f>
        <v>2229.1024</v>
      </c>
      <c r="J14" s="196"/>
      <c r="K14" s="350"/>
      <c r="L14" s="350"/>
      <c r="M14" s="350"/>
      <c r="N14" s="29"/>
      <c r="O14" s="24"/>
      <c r="P14" s="24"/>
      <c r="Q14" s="29"/>
      <c r="R14" s="24"/>
      <c r="S14" s="24"/>
      <c r="T14" s="29"/>
      <c r="U14" s="24"/>
      <c r="V14" s="24"/>
      <c r="Y14" s="345">
        <v>3441</v>
      </c>
      <c r="Z14" s="365">
        <f t="shared" si="1"/>
        <v>1274.8399999999997</v>
      </c>
    </row>
    <row r="15" spans="1:26" ht="15.75" customHeight="1">
      <c r="A15" s="9">
        <v>10</v>
      </c>
      <c r="B15" s="9"/>
      <c r="C15" s="9"/>
      <c r="D15" s="10" t="s">
        <v>37</v>
      </c>
      <c r="E15" s="9"/>
      <c r="F15" s="13" t="s">
        <v>38</v>
      </c>
      <c r="G15" s="9" t="s">
        <v>21</v>
      </c>
      <c r="H15" s="23">
        <v>2105</v>
      </c>
      <c r="I15" s="23">
        <f t="shared" si="0"/>
        <v>2167.0249999999996</v>
      </c>
      <c r="J15" s="32" t="s">
        <v>91</v>
      </c>
      <c r="K15" s="351"/>
      <c r="L15" s="350"/>
      <c r="M15" s="357"/>
      <c r="N15" s="34"/>
      <c r="O15" s="23"/>
      <c r="P15" s="34"/>
      <c r="Q15" s="34"/>
      <c r="R15" s="23"/>
      <c r="S15" s="34"/>
      <c r="T15" s="34"/>
      <c r="U15" s="23"/>
      <c r="V15" s="34"/>
      <c r="Y15" s="366">
        <v>3450</v>
      </c>
      <c r="Z15" s="365">
        <f t="shared" si="1"/>
        <v>1345</v>
      </c>
    </row>
    <row r="16" spans="1:26" ht="15.75" customHeight="1">
      <c r="A16" s="9">
        <v>11</v>
      </c>
      <c r="B16" s="9"/>
      <c r="C16" s="9"/>
      <c r="D16" s="10" t="s">
        <v>39</v>
      </c>
      <c r="E16" s="9"/>
      <c r="F16" s="13" t="s">
        <v>40</v>
      </c>
      <c r="G16" s="9" t="s">
        <v>21</v>
      </c>
      <c r="H16" s="23">
        <v>2185</v>
      </c>
      <c r="I16" s="23">
        <f t="shared" si="0"/>
        <v>2248.225</v>
      </c>
      <c r="J16" s="32" t="s">
        <v>92</v>
      </c>
      <c r="K16" s="350"/>
      <c r="L16" s="350"/>
      <c r="M16" s="357"/>
      <c r="N16" s="34"/>
      <c r="O16" s="23"/>
      <c r="P16" s="34"/>
      <c r="Q16" s="34"/>
      <c r="R16" s="23"/>
      <c r="S16" s="34"/>
      <c r="T16" s="34"/>
      <c r="U16" s="23"/>
      <c r="V16" s="34"/>
      <c r="Y16" s="366">
        <v>3450</v>
      </c>
      <c r="Z16" s="365">
        <f t="shared" si="1"/>
        <v>1265</v>
      </c>
    </row>
    <row r="17" spans="1:26" ht="15.75" customHeight="1">
      <c r="A17" s="9">
        <v>12</v>
      </c>
      <c r="B17" s="9"/>
      <c r="C17" s="9"/>
      <c r="D17" s="10" t="s">
        <v>41</v>
      </c>
      <c r="E17" s="9"/>
      <c r="F17" s="13" t="s">
        <v>42</v>
      </c>
      <c r="G17" s="9" t="s">
        <v>21</v>
      </c>
      <c r="H17" s="23">
        <v>2155</v>
      </c>
      <c r="I17" s="23">
        <f t="shared" si="0"/>
        <v>2217.7749999999996</v>
      </c>
      <c r="J17" s="32" t="s">
        <v>91</v>
      </c>
      <c r="K17" s="351"/>
      <c r="L17" s="350"/>
      <c r="M17" s="357"/>
      <c r="N17" s="34"/>
      <c r="O17" s="23"/>
      <c r="P17" s="34"/>
      <c r="Q17" s="34"/>
      <c r="R17" s="23"/>
      <c r="S17" s="34"/>
      <c r="T17" s="34"/>
      <c r="U17" s="23"/>
      <c r="V17" s="34"/>
      <c r="Y17" s="366">
        <v>3300</v>
      </c>
      <c r="Z17" s="365">
        <f t="shared" si="1"/>
        <v>1145</v>
      </c>
    </row>
    <row r="18" spans="1:26" ht="15.75" customHeight="1">
      <c r="A18" s="9">
        <v>13</v>
      </c>
      <c r="B18" s="9"/>
      <c r="C18" s="6" t="s">
        <v>43</v>
      </c>
      <c r="D18" s="9"/>
      <c r="E18" s="9">
        <v>183</v>
      </c>
      <c r="F18" s="13" t="s">
        <v>44</v>
      </c>
      <c r="G18" s="9" t="s">
        <v>21</v>
      </c>
      <c r="H18" s="23">
        <v>2231</v>
      </c>
      <c r="I18" s="23">
        <f t="shared" si="0"/>
        <v>2294.915</v>
      </c>
      <c r="J18" s="185" t="s">
        <v>107</v>
      </c>
      <c r="K18" s="350"/>
      <c r="L18" s="350"/>
      <c r="M18" s="350"/>
      <c r="N18" s="34"/>
      <c r="O18" s="23"/>
      <c r="P18" s="34"/>
      <c r="Q18" s="34"/>
      <c r="R18" s="23"/>
      <c r="S18" s="34"/>
      <c r="T18" s="34"/>
      <c r="U18" s="23"/>
      <c r="V18" s="34"/>
      <c r="Y18" s="366">
        <v>4100</v>
      </c>
      <c r="Z18" s="365">
        <f t="shared" si="1"/>
        <v>1869</v>
      </c>
    </row>
    <row r="19" spans="1:26" s="104" customFormat="1" ht="36.75">
      <c r="A19" s="9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7" t="s">
        <v>21</v>
      </c>
      <c r="H19" s="195">
        <f>H20*0.6+H21*0.2+H22*0.2</f>
        <v>2388.6000000000004</v>
      </c>
      <c r="I19" s="195">
        <f>I20*0.6+I21*0.2+I22*0.2</f>
        <v>2454.879</v>
      </c>
      <c r="J19" s="23"/>
      <c r="K19" s="350"/>
      <c r="L19" s="350"/>
      <c r="M19" s="350"/>
      <c r="N19" s="29"/>
      <c r="O19" s="24"/>
      <c r="P19" s="24"/>
      <c r="Q19" s="29"/>
      <c r="R19" s="24"/>
      <c r="S19" s="24"/>
      <c r="T19" s="29"/>
      <c r="U19" s="24"/>
      <c r="V19" s="24"/>
      <c r="Y19" s="345">
        <v>4870</v>
      </c>
      <c r="Z19" s="365">
        <f t="shared" si="1"/>
        <v>2481.3999999999996</v>
      </c>
    </row>
    <row r="20" spans="1:26" ht="15.75" customHeight="1">
      <c r="A20" s="9">
        <v>15</v>
      </c>
      <c r="B20" s="9"/>
      <c r="C20" s="9"/>
      <c r="D20" s="10" t="s">
        <v>48</v>
      </c>
      <c r="E20" s="25"/>
      <c r="F20" s="10" t="s">
        <v>49</v>
      </c>
      <c r="G20" s="9" t="s">
        <v>21</v>
      </c>
      <c r="H20" s="23">
        <v>2205</v>
      </c>
      <c r="I20" s="23">
        <f t="shared" si="0"/>
        <v>2268.5249999999996</v>
      </c>
      <c r="J20" s="31" t="s">
        <v>93</v>
      </c>
      <c r="K20" s="350"/>
      <c r="L20" s="350"/>
      <c r="M20" s="357"/>
      <c r="N20" s="34"/>
      <c r="O20" s="23"/>
      <c r="P20" s="34"/>
      <c r="Q20" s="34"/>
      <c r="R20" s="23"/>
      <c r="S20" s="34"/>
      <c r="T20" s="34"/>
      <c r="U20" s="23"/>
      <c r="V20" s="34"/>
      <c r="Y20" s="345">
        <v>4500</v>
      </c>
      <c r="Z20" s="365">
        <f t="shared" si="1"/>
        <v>2295</v>
      </c>
    </row>
    <row r="21" spans="1:26" ht="15.75" customHeight="1">
      <c r="A21" s="9">
        <v>16</v>
      </c>
      <c r="B21" s="9"/>
      <c r="C21" s="9"/>
      <c r="D21" s="10" t="s">
        <v>50</v>
      </c>
      <c r="E21" s="25">
        <v>192</v>
      </c>
      <c r="F21" s="10" t="s">
        <v>51</v>
      </c>
      <c r="G21" s="9" t="s">
        <v>21</v>
      </c>
      <c r="H21" s="23">
        <v>2517</v>
      </c>
      <c r="I21" s="23">
        <f t="shared" si="0"/>
        <v>2585.205</v>
      </c>
      <c r="J21" s="31" t="s">
        <v>93</v>
      </c>
      <c r="K21" s="353"/>
      <c r="L21" s="353"/>
      <c r="M21" s="358"/>
      <c r="N21" s="34"/>
      <c r="O21" s="34"/>
      <c r="P21" s="34"/>
      <c r="Q21" s="34"/>
      <c r="R21" s="34"/>
      <c r="S21" s="34"/>
      <c r="T21" s="34"/>
      <c r="U21" s="34"/>
      <c r="V21" s="34"/>
      <c r="Y21" s="367">
        <v>5850</v>
      </c>
      <c r="Z21" s="365">
        <f t="shared" si="1"/>
        <v>3333</v>
      </c>
    </row>
    <row r="22" spans="1:26" ht="15.75" customHeight="1">
      <c r="A22" s="9">
        <v>17</v>
      </c>
      <c r="B22" s="9"/>
      <c r="C22" s="9"/>
      <c r="D22" s="10" t="s">
        <v>52</v>
      </c>
      <c r="E22" s="25">
        <v>191</v>
      </c>
      <c r="F22" s="10" t="s">
        <v>53</v>
      </c>
      <c r="G22" s="9" t="s">
        <v>21</v>
      </c>
      <c r="H22" s="23">
        <v>2811</v>
      </c>
      <c r="I22" s="23">
        <f t="shared" si="0"/>
        <v>2883.615</v>
      </c>
      <c r="J22" s="32" t="s">
        <v>108</v>
      </c>
      <c r="K22" s="350"/>
      <c r="L22" s="350"/>
      <c r="M22" s="351"/>
      <c r="N22" s="34"/>
      <c r="O22" s="359"/>
      <c r="P22" s="34"/>
      <c r="Q22" s="34"/>
      <c r="R22" s="23"/>
      <c r="S22" s="34"/>
      <c r="T22" s="34"/>
      <c r="U22" s="23"/>
      <c r="V22" s="34"/>
      <c r="Y22" s="345">
        <v>5000</v>
      </c>
      <c r="Z22" s="365">
        <f t="shared" si="1"/>
        <v>2189</v>
      </c>
    </row>
    <row r="23" spans="1:26" ht="15.75" customHeight="1">
      <c r="A23" s="9">
        <v>18</v>
      </c>
      <c r="B23" s="9"/>
      <c r="C23" s="10" t="s">
        <v>54</v>
      </c>
      <c r="D23" s="13"/>
      <c r="E23" s="9">
        <v>121</v>
      </c>
      <c r="F23" s="13"/>
      <c r="G23" s="9" t="s">
        <v>21</v>
      </c>
      <c r="H23" s="23" t="e">
        <f>#REF!+50-300</f>
        <v>#REF!</v>
      </c>
      <c r="I23" s="23" t="e">
        <f t="shared" si="0"/>
        <v>#REF!</v>
      </c>
      <c r="J23" s="23"/>
      <c r="K23" s="350"/>
      <c r="L23" s="350"/>
      <c r="M23" s="350"/>
      <c r="N23" s="360"/>
      <c r="O23" s="34"/>
      <c r="P23" s="34"/>
      <c r="Q23" s="34"/>
      <c r="R23" s="34"/>
      <c r="S23" s="34"/>
      <c r="T23" s="34"/>
      <c r="U23" s="34"/>
      <c r="V23" s="34"/>
      <c r="Y23" s="345">
        <v>3800</v>
      </c>
      <c r="Z23" s="365" t="e">
        <f t="shared" si="1"/>
        <v>#REF!</v>
      </c>
    </row>
    <row r="24" spans="1:26" ht="15.75" customHeight="1">
      <c r="A24" s="9">
        <v>19</v>
      </c>
      <c r="B24" s="9"/>
      <c r="C24" s="10" t="s">
        <v>55</v>
      </c>
      <c r="D24" s="13"/>
      <c r="E24" s="9">
        <v>125</v>
      </c>
      <c r="F24" s="10" t="s">
        <v>56</v>
      </c>
      <c r="G24" s="9" t="s">
        <v>21</v>
      </c>
      <c r="H24" s="23" t="e">
        <f>#REF!+50-300</f>
        <v>#REF!</v>
      </c>
      <c r="I24" s="23" t="e">
        <f t="shared" si="0"/>
        <v>#REF!</v>
      </c>
      <c r="J24" s="354"/>
      <c r="K24" s="350"/>
      <c r="L24" s="350"/>
      <c r="M24" s="351"/>
      <c r="N24" s="34"/>
      <c r="O24" s="23"/>
      <c r="P24" s="34"/>
      <c r="Q24" s="34"/>
      <c r="R24" s="23"/>
      <c r="S24" s="34"/>
      <c r="T24" s="34"/>
      <c r="U24" s="23"/>
      <c r="V24" s="34"/>
      <c r="Y24" s="345">
        <v>5300</v>
      </c>
      <c r="Z24" s="365" t="e">
        <f t="shared" si="1"/>
        <v>#REF!</v>
      </c>
    </row>
    <row r="25" spans="1:43" s="104" customFormat="1" ht="22.5" customHeight="1">
      <c r="A25" s="7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7" t="s">
        <v>21</v>
      </c>
      <c r="H25" s="83">
        <f>H27*0.75+H29*0.25</f>
        <v>287.25</v>
      </c>
      <c r="I25" s="83">
        <f>I27*0.75+I29*0.25</f>
        <v>304.7258375</v>
      </c>
      <c r="J25" s="149"/>
      <c r="K25" s="83">
        <f>K27*0.75+K29*0.25</f>
        <v>295.5</v>
      </c>
      <c r="L25" s="83">
        <f>L27*0.75+L29*0.25</f>
        <v>313.18332499999997</v>
      </c>
      <c r="M25" s="149"/>
      <c r="N25" s="83">
        <f>N27*0.75+N29*0.25</f>
        <v>303.5</v>
      </c>
      <c r="O25" s="83">
        <f>O27*0.75+O29*0.25</f>
        <v>321.38452499999994</v>
      </c>
      <c r="P25" s="149"/>
      <c r="Q25" s="83">
        <f>Q27*0.75+Q29*0.25</f>
        <v>289.25</v>
      </c>
      <c r="R25" s="83">
        <f>R27*0.75+R29*0.25</f>
        <v>306.77613749999995</v>
      </c>
      <c r="S25" s="149"/>
      <c r="T25" s="83">
        <f>T27*0.75+T29*0.25</f>
        <v>301.375</v>
      </c>
      <c r="U25" s="83">
        <f>U27*0.75+U29*0.25</f>
        <v>319.20608124999995</v>
      </c>
      <c r="V25" s="149"/>
      <c r="Y25" s="368"/>
      <c r="Z25" s="369"/>
      <c r="AA25" s="345">
        <v>310</v>
      </c>
      <c r="AB25" s="23"/>
      <c r="AC25" s="345">
        <v>295</v>
      </c>
      <c r="AD25" s="23"/>
      <c r="AE25" s="345">
        <v>310</v>
      </c>
      <c r="AF25" s="23"/>
      <c r="AG25" s="345">
        <v>305</v>
      </c>
      <c r="AH25" s="23"/>
      <c r="AI25" s="310">
        <v>305</v>
      </c>
      <c r="AJ25" s="23" t="s">
        <v>109</v>
      </c>
      <c r="AK25" s="23">
        <v>295</v>
      </c>
      <c r="AL25" s="23"/>
      <c r="AM25" s="310">
        <v>305</v>
      </c>
      <c r="AN25" s="23"/>
      <c r="AO25" s="310">
        <v>305</v>
      </c>
      <c r="AP25" s="23"/>
      <c r="AQ25" s="345">
        <v>300</v>
      </c>
    </row>
    <row r="26" spans="1:22" ht="15.75" customHeight="1">
      <c r="A26" s="9">
        <v>21</v>
      </c>
      <c r="B26" s="9"/>
      <c r="C26" s="13" t="s">
        <v>60</v>
      </c>
      <c r="D26" s="13"/>
      <c r="E26" s="9">
        <v>832</v>
      </c>
      <c r="F26" s="10" t="s">
        <v>61</v>
      </c>
      <c r="G26" s="9" t="s">
        <v>21</v>
      </c>
      <c r="H26" s="23">
        <f>I26/1.015/1.01-10</f>
        <v>284.50934009657124</v>
      </c>
      <c r="I26" s="23">
        <v>301.91625</v>
      </c>
      <c r="J26" s="23"/>
      <c r="K26" s="23">
        <f>L26/1.015/1.01-10</f>
        <v>296.5093400965712</v>
      </c>
      <c r="L26" s="23">
        <v>314.21804999999995</v>
      </c>
      <c r="M26" s="23"/>
      <c r="N26" s="23">
        <f>O26/1.015/1.01-10</f>
        <v>311.50934009657124</v>
      </c>
      <c r="O26" s="23">
        <v>329.59529999999995</v>
      </c>
      <c r="P26" s="23"/>
      <c r="Q26" s="23">
        <f>R26/1.015/1.01-10</f>
        <v>286.5093400965712</v>
      </c>
      <c r="R26" s="23">
        <v>303.9665499999999</v>
      </c>
      <c r="S26" s="23"/>
      <c r="T26" s="23">
        <f>U26/1.015/1.01-10</f>
        <v>304.0093400965712</v>
      </c>
      <c r="U26" s="23">
        <v>321.90667499999995</v>
      </c>
      <c r="V26" s="9"/>
    </row>
    <row r="27" spans="1:22" ht="15.75" customHeight="1">
      <c r="A27" s="9">
        <v>22</v>
      </c>
      <c r="B27" s="9"/>
      <c r="C27" s="13" t="s">
        <v>60</v>
      </c>
      <c r="D27" s="13"/>
      <c r="E27" s="9"/>
      <c r="F27" s="10" t="s">
        <v>62</v>
      </c>
      <c r="G27" s="9" t="s">
        <v>21</v>
      </c>
      <c r="H27" s="23">
        <f>I27/1.015/1.01-10</f>
        <v>265</v>
      </c>
      <c r="I27" s="23">
        <v>281.91625</v>
      </c>
      <c r="J27" s="23"/>
      <c r="K27" s="23">
        <f>L27/1.015/1.01-10</f>
        <v>277</v>
      </c>
      <c r="L27" s="23">
        <v>294.21804999999995</v>
      </c>
      <c r="M27" s="23"/>
      <c r="N27" s="23">
        <f>O27/1.015/1.01-10</f>
        <v>292</v>
      </c>
      <c r="O27" s="23">
        <v>309.59529999999995</v>
      </c>
      <c r="P27" s="23"/>
      <c r="Q27" s="23">
        <f>R27/1.015/1.01-10</f>
        <v>267</v>
      </c>
      <c r="R27" s="23">
        <v>283.9665499999999</v>
      </c>
      <c r="S27" s="23"/>
      <c r="T27" s="23">
        <f>U27/1.015/1.01-10</f>
        <v>284.5</v>
      </c>
      <c r="U27" s="23">
        <v>301.90667499999995</v>
      </c>
      <c r="V27" s="9"/>
    </row>
    <row r="28" spans="1:22" ht="15.75" customHeight="1">
      <c r="A28" s="9">
        <v>23</v>
      </c>
      <c r="B28" s="9"/>
      <c r="C28" s="13" t="s">
        <v>63</v>
      </c>
      <c r="D28" s="13"/>
      <c r="E28" s="9">
        <v>833</v>
      </c>
      <c r="F28" s="10" t="s">
        <v>61</v>
      </c>
      <c r="G28" s="9" t="s">
        <v>21</v>
      </c>
      <c r="H28" s="23">
        <f>I28/1.015/1.01-10</f>
        <v>373.50934009657124</v>
      </c>
      <c r="I28" s="23">
        <v>393.15459999999996</v>
      </c>
      <c r="J28" s="23"/>
      <c r="K28" s="23">
        <f>L28/1.015/1.01-10</f>
        <v>370.5093400965713</v>
      </c>
      <c r="L28" s="23">
        <v>390.07914999999997</v>
      </c>
      <c r="M28" s="23"/>
      <c r="N28" s="23">
        <f>O28/1.015/1.01-10</f>
        <v>357.50934009657124</v>
      </c>
      <c r="O28" s="23">
        <v>376.75219999999996</v>
      </c>
      <c r="P28" s="23"/>
      <c r="Q28" s="23">
        <f>R28/1.015/1.01-10</f>
        <v>375.5093400965713</v>
      </c>
      <c r="R28" s="23">
        <v>395.2049</v>
      </c>
      <c r="S28" s="23"/>
      <c r="T28" s="23">
        <f>U28/1.015/1.01-10</f>
        <v>371.50934009657124</v>
      </c>
      <c r="U28" s="23">
        <v>391.10429999999997</v>
      </c>
      <c r="V28" s="9"/>
    </row>
    <row r="29" spans="1:22" ht="15.75" customHeight="1">
      <c r="A29" s="9">
        <v>24</v>
      </c>
      <c r="B29" s="9"/>
      <c r="C29" s="13" t="s">
        <v>63</v>
      </c>
      <c r="D29" s="13"/>
      <c r="E29" s="9"/>
      <c r="F29" s="10" t="s">
        <v>62</v>
      </c>
      <c r="G29" s="9" t="s">
        <v>21</v>
      </c>
      <c r="H29" s="23">
        <f>I29/1.015/1.01-10</f>
        <v>354</v>
      </c>
      <c r="I29" s="23">
        <v>373.15459999999996</v>
      </c>
      <c r="J29" s="23"/>
      <c r="K29" s="23">
        <f>L29/1.015/1.01-10</f>
        <v>351</v>
      </c>
      <c r="L29" s="23">
        <v>370.07914999999997</v>
      </c>
      <c r="M29" s="23"/>
      <c r="N29" s="23">
        <f>O29/1.015/1.01-10</f>
        <v>338</v>
      </c>
      <c r="O29" s="23">
        <v>356.75219999999996</v>
      </c>
      <c r="P29" s="23"/>
      <c r="Q29" s="23">
        <f>R29/1.015/1.01-10</f>
        <v>356</v>
      </c>
      <c r="R29" s="23">
        <v>375.2049</v>
      </c>
      <c r="S29" s="23"/>
      <c r="T29" s="23">
        <f>U29/1.015/1.01-10</f>
        <v>352</v>
      </c>
      <c r="U29" s="23">
        <v>371.10429999999997</v>
      </c>
      <c r="V29" s="9"/>
    </row>
    <row r="30" spans="1:22" s="210" customFormat="1" ht="15.75" customHeight="1" hidden="1">
      <c r="A30" s="9">
        <v>25</v>
      </c>
      <c r="B30" s="6" t="s">
        <v>64</v>
      </c>
      <c r="C30" s="15" t="s">
        <v>65</v>
      </c>
      <c r="D30" s="16"/>
      <c r="E30" s="26"/>
      <c r="F30" s="27" t="s">
        <v>66</v>
      </c>
      <c r="G30" s="26" t="s">
        <v>67</v>
      </c>
      <c r="H30" s="28"/>
      <c r="I30" s="38">
        <v>6.3</v>
      </c>
      <c r="J30" s="28"/>
      <c r="K30" s="28"/>
      <c r="L30" s="38">
        <v>6.3</v>
      </c>
      <c r="M30" s="28"/>
      <c r="N30" s="28"/>
      <c r="O30" s="38">
        <v>6.3</v>
      </c>
      <c r="P30" s="28"/>
      <c r="Q30" s="28"/>
      <c r="R30" s="38">
        <v>6.3</v>
      </c>
      <c r="S30" s="28"/>
      <c r="T30" s="28"/>
      <c r="U30" s="38">
        <v>6.3</v>
      </c>
      <c r="V30" s="28"/>
    </row>
    <row r="31" spans="1:22" s="210" customFormat="1" ht="15.75" customHeight="1" hidden="1">
      <c r="A31" s="9">
        <v>26</v>
      </c>
      <c r="B31" s="6"/>
      <c r="C31" s="15" t="s">
        <v>65</v>
      </c>
      <c r="D31" s="16"/>
      <c r="E31" s="26">
        <v>862</v>
      </c>
      <c r="F31" s="27" t="s">
        <v>68</v>
      </c>
      <c r="G31" s="26" t="s">
        <v>67</v>
      </c>
      <c r="H31" s="28"/>
      <c r="I31" s="38">
        <v>6.75</v>
      </c>
      <c r="J31" s="28"/>
      <c r="K31" s="28"/>
      <c r="L31" s="38">
        <v>6.75</v>
      </c>
      <c r="M31" s="28"/>
      <c r="N31" s="28"/>
      <c r="O31" s="38">
        <v>6.75</v>
      </c>
      <c r="P31" s="28"/>
      <c r="Q31" s="28"/>
      <c r="R31" s="38">
        <v>6.75</v>
      </c>
      <c r="S31" s="28"/>
      <c r="T31" s="28"/>
      <c r="U31" s="38">
        <v>6.75</v>
      </c>
      <c r="V31" s="28"/>
    </row>
    <row r="32" spans="1:22" s="189" customFormat="1" ht="15.75" customHeight="1" hidden="1">
      <c r="A32" s="9">
        <v>27</v>
      </c>
      <c r="B32" s="17"/>
      <c r="C32" s="10" t="s">
        <v>69</v>
      </c>
      <c r="D32" s="18"/>
      <c r="E32" s="26">
        <v>863</v>
      </c>
      <c r="F32" s="27" t="s">
        <v>70</v>
      </c>
      <c r="G32" s="26" t="s">
        <v>67</v>
      </c>
      <c r="H32" s="28"/>
      <c r="I32" s="38">
        <v>5.73</v>
      </c>
      <c r="J32" s="28"/>
      <c r="K32" s="28"/>
      <c r="L32" s="38">
        <v>5.73</v>
      </c>
      <c r="M32" s="28"/>
      <c r="N32" s="28"/>
      <c r="O32" s="38">
        <v>5.73</v>
      </c>
      <c r="P32" s="28"/>
      <c r="Q32" s="28"/>
      <c r="R32" s="38">
        <v>5.73</v>
      </c>
      <c r="S32" s="28"/>
      <c r="T32" s="28"/>
      <c r="U32" s="38">
        <v>5.73</v>
      </c>
      <c r="V32" s="28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78"/>
      <c r="E34" s="104"/>
      <c r="F34" s="7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19"/>
      <c r="C35" s="19"/>
      <c r="D35" s="19"/>
      <c r="E35" s="19"/>
      <c r="F35" s="19"/>
      <c r="G35" s="19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5"/>
      <c r="T35" s="5"/>
      <c r="U35" s="5"/>
      <c r="V35" s="190"/>
    </row>
    <row r="36" spans="1:22" ht="12.7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111</v>
      </c>
      <c r="I36" s="348"/>
      <c r="J36" s="355"/>
      <c r="K36" s="344" t="s">
        <v>112</v>
      </c>
      <c r="L36" s="348"/>
      <c r="M36" s="355"/>
      <c r="N36" s="342" t="s">
        <v>113</v>
      </c>
      <c r="O36" s="346"/>
      <c r="P36" s="347"/>
      <c r="Q36" s="342" t="s">
        <v>114</v>
      </c>
      <c r="R36" s="346"/>
      <c r="S36" s="347"/>
      <c r="T36" s="221" t="s">
        <v>77</v>
      </c>
      <c r="U36" s="361" t="s">
        <v>115</v>
      </c>
      <c r="V36" s="173"/>
    </row>
    <row r="37" spans="1:22" ht="22.5">
      <c r="A37" s="53"/>
      <c r="B37" s="53"/>
      <c r="C37" s="108"/>
      <c r="D37" s="109"/>
      <c r="E37" s="53"/>
      <c r="F37" s="53"/>
      <c r="G37" s="53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1"/>
      <c r="U37" s="361"/>
      <c r="V37" s="173"/>
    </row>
    <row r="38" spans="1:21" s="104" customFormat="1" ht="23.25" customHeight="1">
      <c r="A38" s="7">
        <v>1</v>
      </c>
      <c r="B38" s="6" t="s">
        <v>16</v>
      </c>
      <c r="C38" s="6" t="s">
        <v>17</v>
      </c>
      <c r="D38" s="8" t="s">
        <v>18</v>
      </c>
      <c r="E38" s="9" t="s">
        <v>19</v>
      </c>
      <c r="F38" s="21" t="s">
        <v>20</v>
      </c>
      <c r="G38" s="7" t="s">
        <v>21</v>
      </c>
      <c r="H38" s="29"/>
      <c r="I38" s="22"/>
      <c r="J38" s="29"/>
      <c r="K38" s="29"/>
      <c r="L38" s="22"/>
      <c r="M38" s="29"/>
      <c r="N38" s="29"/>
      <c r="O38" s="29"/>
      <c r="P38" s="29"/>
      <c r="Q38" s="29"/>
      <c r="R38" s="22"/>
      <c r="S38" s="29"/>
      <c r="T38" s="22">
        <f>AVERAGE(H6,K6,N6,Q6,T6,H38,K38,N38,Q38)</f>
        <v>2253.2000000000003</v>
      </c>
      <c r="U38" s="22">
        <f>AVERAGE(I6,L6,O6,R6,U6,I38,L38,O38,R38)</f>
        <v>2317.448</v>
      </c>
    </row>
    <row r="39" spans="1:21" ht="25.5">
      <c r="A39" s="9">
        <v>2</v>
      </c>
      <c r="B39" s="9"/>
      <c r="C39" s="9"/>
      <c r="D39" s="10" t="s">
        <v>22</v>
      </c>
      <c r="E39" s="9"/>
      <c r="F39" s="10" t="s">
        <v>23</v>
      </c>
      <c r="G39" s="9" t="s">
        <v>21</v>
      </c>
      <c r="H39" s="34"/>
      <c r="I39" s="23"/>
      <c r="J39" s="34"/>
      <c r="K39" s="34"/>
      <c r="L39" s="23"/>
      <c r="M39" s="34"/>
      <c r="N39" s="34"/>
      <c r="O39" s="23"/>
      <c r="P39" s="34"/>
      <c r="Q39" s="34"/>
      <c r="R39" s="23"/>
      <c r="S39" s="34"/>
      <c r="T39" s="30">
        <f aca="true" t="shared" si="2" ref="T39:U54">AVERAGE(H7,K7,N7,Q7,T7,H39,K39,N39,Q39)</f>
        <v>2251</v>
      </c>
      <c r="U39" s="30">
        <f t="shared" si="2"/>
        <v>2315.2149999999997</v>
      </c>
    </row>
    <row r="40" spans="1:21" ht="15" customHeight="1">
      <c r="A40" s="9">
        <v>3</v>
      </c>
      <c r="B40" s="9"/>
      <c r="C40" s="9"/>
      <c r="D40" s="10" t="s">
        <v>24</v>
      </c>
      <c r="E40" s="9"/>
      <c r="F40" s="10" t="s">
        <v>25</v>
      </c>
      <c r="G40" s="9" t="s">
        <v>21</v>
      </c>
      <c r="H40" s="34"/>
      <c r="I40" s="23"/>
      <c r="J40" s="34"/>
      <c r="K40" s="34"/>
      <c r="L40" s="23"/>
      <c r="M40" s="34"/>
      <c r="N40" s="34"/>
      <c r="O40" s="23"/>
      <c r="P40" s="34"/>
      <c r="Q40" s="34"/>
      <c r="R40" s="23"/>
      <c r="S40" s="34"/>
      <c r="T40" s="30">
        <f t="shared" si="2"/>
        <v>2262</v>
      </c>
      <c r="U40" s="30">
        <f t="shared" si="2"/>
        <v>2326.3799999999997</v>
      </c>
    </row>
    <row r="41" spans="1:21" ht="36" customHeight="1">
      <c r="A41" s="7">
        <v>4</v>
      </c>
      <c r="B41" s="9"/>
      <c r="C41" s="6" t="s">
        <v>26</v>
      </c>
      <c r="D41" s="11" t="s">
        <v>27</v>
      </c>
      <c r="E41" s="9">
        <v>112</v>
      </c>
      <c r="F41" s="21" t="s">
        <v>28</v>
      </c>
      <c r="G41" s="7" t="s">
        <v>21</v>
      </c>
      <c r="H41" s="29"/>
      <c r="I41" s="29"/>
      <c r="J41" s="29"/>
      <c r="K41" s="29"/>
      <c r="L41" s="29"/>
      <c r="M41" s="29"/>
      <c r="N41" s="29"/>
      <c r="O41" s="22"/>
      <c r="P41" s="29"/>
      <c r="Q41" s="29"/>
      <c r="R41" s="29"/>
      <c r="S41" s="29"/>
      <c r="T41" s="22">
        <f t="shared" si="2"/>
        <v>2113.8</v>
      </c>
      <c r="U41" s="22">
        <f t="shared" si="2"/>
        <v>2175.957</v>
      </c>
    </row>
    <row r="42" spans="1:21" ht="15" customHeight="1">
      <c r="A42" s="9">
        <v>5</v>
      </c>
      <c r="B42" s="9"/>
      <c r="C42" s="9"/>
      <c r="D42" s="10" t="s">
        <v>29</v>
      </c>
      <c r="E42" s="9"/>
      <c r="F42" s="10" t="s">
        <v>30</v>
      </c>
      <c r="G42" s="9" t="s">
        <v>21</v>
      </c>
      <c r="H42" s="34"/>
      <c r="I42" s="23"/>
      <c r="J42" s="34"/>
      <c r="K42" s="34"/>
      <c r="L42" s="23"/>
      <c r="M42" s="34"/>
      <c r="N42" s="34"/>
      <c r="O42" s="23"/>
      <c r="P42" s="34"/>
      <c r="Q42" s="34"/>
      <c r="R42" s="23"/>
      <c r="S42" s="34"/>
      <c r="T42" s="30">
        <f t="shared" si="2"/>
        <v>2196</v>
      </c>
      <c r="U42" s="30">
        <f t="shared" si="2"/>
        <v>2259.39</v>
      </c>
    </row>
    <row r="43" spans="1:21" ht="15" customHeight="1">
      <c r="A43" s="9">
        <v>6</v>
      </c>
      <c r="B43" s="9"/>
      <c r="C43" s="9"/>
      <c r="D43" s="10" t="s">
        <v>29</v>
      </c>
      <c r="E43" s="9"/>
      <c r="F43" s="10" t="s">
        <v>31</v>
      </c>
      <c r="G43" s="9" t="s">
        <v>21</v>
      </c>
      <c r="H43" s="34"/>
      <c r="I43" s="23"/>
      <c r="J43" s="34"/>
      <c r="K43" s="34"/>
      <c r="L43" s="23"/>
      <c r="M43" s="34"/>
      <c r="N43" s="34"/>
      <c r="O43" s="23"/>
      <c r="P43" s="34"/>
      <c r="Q43" s="34"/>
      <c r="R43" s="23"/>
      <c r="S43" s="34"/>
      <c r="T43" s="30">
        <f t="shared" si="2"/>
        <v>2186</v>
      </c>
      <c r="U43" s="30">
        <f t="shared" si="2"/>
        <v>2249.24</v>
      </c>
    </row>
    <row r="44" spans="1:21" ht="15" customHeight="1">
      <c r="A44" s="9">
        <v>7</v>
      </c>
      <c r="B44" s="9"/>
      <c r="C44" s="9"/>
      <c r="D44" s="10" t="s">
        <v>29</v>
      </c>
      <c r="E44" s="9"/>
      <c r="F44" s="10" t="s">
        <v>32</v>
      </c>
      <c r="G44" s="9" t="s">
        <v>21</v>
      </c>
      <c r="H44" s="34"/>
      <c r="I44" s="23"/>
      <c r="J44" s="34"/>
      <c r="K44" s="34"/>
      <c r="L44" s="23"/>
      <c r="M44" s="34"/>
      <c r="N44" s="34"/>
      <c r="O44" s="23"/>
      <c r="P44" s="34"/>
      <c r="Q44" s="34"/>
      <c r="R44" s="23"/>
      <c r="S44" s="34"/>
      <c r="T44" s="30">
        <f t="shared" si="2"/>
        <v>2036</v>
      </c>
      <c r="U44" s="30">
        <f t="shared" si="2"/>
        <v>2096.99</v>
      </c>
    </row>
    <row r="45" spans="1:21" ht="15" customHeight="1">
      <c r="A45" s="9">
        <v>8</v>
      </c>
      <c r="B45" s="9"/>
      <c r="C45" s="9"/>
      <c r="D45" s="10" t="s">
        <v>29</v>
      </c>
      <c r="E45" s="9"/>
      <c r="F45" s="10" t="s">
        <v>33</v>
      </c>
      <c r="G45" s="9" t="s">
        <v>21</v>
      </c>
      <c r="H45" s="34"/>
      <c r="I45" s="23"/>
      <c r="J45" s="34"/>
      <c r="K45" s="34"/>
      <c r="L45" s="23"/>
      <c r="M45" s="34"/>
      <c r="N45" s="34"/>
      <c r="O45" s="23"/>
      <c r="P45" s="34"/>
      <c r="Q45" s="34"/>
      <c r="R45" s="23"/>
      <c r="S45" s="34"/>
      <c r="T45" s="30">
        <f t="shared" si="2"/>
        <v>2086</v>
      </c>
      <c r="U45" s="30">
        <f t="shared" si="2"/>
        <v>2147.74</v>
      </c>
    </row>
    <row r="46" spans="1:21" s="104" customFormat="1" ht="24" customHeight="1">
      <c r="A46" s="7">
        <v>9</v>
      </c>
      <c r="B46" s="9"/>
      <c r="C46" s="6" t="s">
        <v>34</v>
      </c>
      <c r="D46" s="11" t="s">
        <v>35</v>
      </c>
      <c r="E46" s="9">
        <v>182</v>
      </c>
      <c r="F46" s="21" t="s">
        <v>36</v>
      </c>
      <c r="G46" s="7" t="s">
        <v>21</v>
      </c>
      <c r="H46" s="29"/>
      <c r="I46" s="24"/>
      <c r="J46" s="24"/>
      <c r="K46" s="29"/>
      <c r="L46" s="24"/>
      <c r="M46" s="24"/>
      <c r="N46" s="29"/>
      <c r="O46" s="24"/>
      <c r="P46" s="24"/>
      <c r="Q46" s="29"/>
      <c r="R46" s="24"/>
      <c r="S46" s="24"/>
      <c r="T46" s="22">
        <f t="shared" si="2"/>
        <v>2166.1600000000003</v>
      </c>
      <c r="U46" s="22">
        <f t="shared" si="2"/>
        <v>2229.1024</v>
      </c>
    </row>
    <row r="47" spans="1:21" ht="15" customHeight="1">
      <c r="A47" s="9">
        <v>10</v>
      </c>
      <c r="B47" s="9"/>
      <c r="C47" s="9"/>
      <c r="D47" s="10" t="s">
        <v>37</v>
      </c>
      <c r="E47" s="9"/>
      <c r="F47" s="13" t="s">
        <v>38</v>
      </c>
      <c r="G47" s="9" t="s">
        <v>21</v>
      </c>
      <c r="H47" s="34"/>
      <c r="I47" s="23"/>
      <c r="J47" s="34"/>
      <c r="K47" s="34"/>
      <c r="L47" s="23"/>
      <c r="M47" s="34"/>
      <c r="N47" s="34"/>
      <c r="O47" s="23"/>
      <c r="P47" s="34"/>
      <c r="Q47" s="34"/>
      <c r="R47" s="30"/>
      <c r="S47" s="34"/>
      <c r="T47" s="30">
        <f t="shared" si="2"/>
        <v>2105</v>
      </c>
      <c r="U47" s="30">
        <f t="shared" si="2"/>
        <v>2167.0249999999996</v>
      </c>
    </row>
    <row r="48" spans="1:21" ht="15" customHeight="1">
      <c r="A48" s="9">
        <v>11</v>
      </c>
      <c r="B48" s="9"/>
      <c r="C48" s="9"/>
      <c r="D48" s="10" t="s">
        <v>39</v>
      </c>
      <c r="E48" s="9"/>
      <c r="F48" s="13" t="s">
        <v>40</v>
      </c>
      <c r="G48" s="9" t="s">
        <v>21</v>
      </c>
      <c r="H48" s="34"/>
      <c r="I48" s="23"/>
      <c r="J48" s="34"/>
      <c r="K48" s="34"/>
      <c r="L48" s="23"/>
      <c r="M48" s="34"/>
      <c r="N48" s="34"/>
      <c r="O48" s="23"/>
      <c r="P48" s="34"/>
      <c r="Q48" s="34"/>
      <c r="R48" s="30"/>
      <c r="S48" s="34"/>
      <c r="T48" s="30">
        <f t="shared" si="2"/>
        <v>2185</v>
      </c>
      <c r="U48" s="30">
        <f t="shared" si="2"/>
        <v>2248.225</v>
      </c>
    </row>
    <row r="49" spans="1:21" ht="15" customHeight="1">
      <c r="A49" s="9">
        <v>12</v>
      </c>
      <c r="B49" s="9"/>
      <c r="C49" s="9"/>
      <c r="D49" s="10" t="s">
        <v>41</v>
      </c>
      <c r="E49" s="9"/>
      <c r="F49" s="13" t="s">
        <v>42</v>
      </c>
      <c r="G49" s="9" t="s">
        <v>21</v>
      </c>
      <c r="H49" s="34"/>
      <c r="I49" s="23"/>
      <c r="J49" s="34"/>
      <c r="K49" s="34"/>
      <c r="L49" s="23"/>
      <c r="M49" s="34"/>
      <c r="N49" s="34"/>
      <c r="O49" s="23"/>
      <c r="P49" s="34"/>
      <c r="Q49" s="34"/>
      <c r="R49" s="30"/>
      <c r="S49" s="34"/>
      <c r="T49" s="30">
        <f t="shared" si="2"/>
        <v>2155</v>
      </c>
      <c r="U49" s="30">
        <f t="shared" si="2"/>
        <v>2217.7749999999996</v>
      </c>
    </row>
    <row r="50" spans="1:21" ht="15" customHeight="1">
      <c r="A50" s="9">
        <v>13</v>
      </c>
      <c r="B50" s="9"/>
      <c r="C50" s="6" t="s">
        <v>43</v>
      </c>
      <c r="D50" s="9"/>
      <c r="E50" s="9">
        <v>183</v>
      </c>
      <c r="F50" s="13" t="s">
        <v>44</v>
      </c>
      <c r="G50" s="9" t="s">
        <v>21</v>
      </c>
      <c r="H50" s="34"/>
      <c r="I50" s="23"/>
      <c r="J50" s="34"/>
      <c r="K50" s="34"/>
      <c r="L50" s="23"/>
      <c r="M50" s="34"/>
      <c r="N50" s="34"/>
      <c r="O50" s="23"/>
      <c r="P50" s="34"/>
      <c r="Q50" s="34"/>
      <c r="R50" s="23"/>
      <c r="S50" s="34"/>
      <c r="T50" s="30">
        <f t="shared" si="2"/>
        <v>2231</v>
      </c>
      <c r="U50" s="30">
        <f t="shared" si="2"/>
        <v>2294.915</v>
      </c>
    </row>
    <row r="51" spans="1:21" s="104" customFormat="1" ht="36.75">
      <c r="A51" s="7">
        <v>14</v>
      </c>
      <c r="B51" s="9"/>
      <c r="C51" s="6" t="s">
        <v>45</v>
      </c>
      <c r="D51" s="11" t="s">
        <v>46</v>
      </c>
      <c r="E51" s="25"/>
      <c r="F51" s="21" t="s">
        <v>47</v>
      </c>
      <c r="G51" s="7" t="s">
        <v>21</v>
      </c>
      <c r="H51" s="29"/>
      <c r="I51" s="24"/>
      <c r="J51" s="24"/>
      <c r="K51" s="29"/>
      <c r="L51" s="24"/>
      <c r="M51" s="24"/>
      <c r="N51" s="29"/>
      <c r="O51" s="24"/>
      <c r="P51" s="29"/>
      <c r="Q51" s="29"/>
      <c r="R51" s="22"/>
      <c r="S51" s="29"/>
      <c r="T51" s="22">
        <f t="shared" si="2"/>
        <v>2388.6000000000004</v>
      </c>
      <c r="U51" s="22">
        <f t="shared" si="2"/>
        <v>2454.879</v>
      </c>
    </row>
    <row r="52" spans="1:21" ht="15" customHeight="1">
      <c r="A52" s="9">
        <v>15</v>
      </c>
      <c r="B52" s="9"/>
      <c r="C52" s="9"/>
      <c r="D52" s="10" t="s">
        <v>48</v>
      </c>
      <c r="E52" s="25"/>
      <c r="F52" s="10" t="s">
        <v>49</v>
      </c>
      <c r="G52" s="9" t="s">
        <v>21</v>
      </c>
      <c r="H52" s="34"/>
      <c r="I52" s="23"/>
      <c r="J52" s="34"/>
      <c r="K52" s="34"/>
      <c r="L52" s="23"/>
      <c r="M52" s="34"/>
      <c r="N52" s="34"/>
      <c r="O52" s="23"/>
      <c r="P52" s="34"/>
      <c r="Q52" s="34"/>
      <c r="R52" s="23"/>
      <c r="S52" s="34"/>
      <c r="T52" s="30">
        <f t="shared" si="2"/>
        <v>2205</v>
      </c>
      <c r="U52" s="30">
        <f t="shared" si="2"/>
        <v>2268.5249999999996</v>
      </c>
    </row>
    <row r="53" spans="1:21" ht="15" customHeight="1">
      <c r="A53" s="9">
        <v>16</v>
      </c>
      <c r="B53" s="9"/>
      <c r="C53" s="9"/>
      <c r="D53" s="10" t="s">
        <v>50</v>
      </c>
      <c r="E53" s="25">
        <v>192</v>
      </c>
      <c r="F53" s="10" t="s">
        <v>51</v>
      </c>
      <c r="G53" s="9" t="s">
        <v>21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0">
        <f t="shared" si="2"/>
        <v>2517</v>
      </c>
      <c r="U53" s="30">
        <f t="shared" si="2"/>
        <v>2585.205</v>
      </c>
    </row>
    <row r="54" spans="1:21" ht="15" customHeight="1">
      <c r="A54" s="9">
        <v>17</v>
      </c>
      <c r="B54" s="9"/>
      <c r="C54" s="9"/>
      <c r="D54" s="10" t="s">
        <v>52</v>
      </c>
      <c r="E54" s="25">
        <v>191</v>
      </c>
      <c r="F54" s="10" t="s">
        <v>53</v>
      </c>
      <c r="G54" s="9" t="s">
        <v>21</v>
      </c>
      <c r="H54" s="34"/>
      <c r="I54" s="23"/>
      <c r="J54" s="34"/>
      <c r="K54" s="34"/>
      <c r="L54" s="23"/>
      <c r="M54" s="34"/>
      <c r="N54" s="34"/>
      <c r="O54" s="23"/>
      <c r="P54" s="34"/>
      <c r="Q54" s="34"/>
      <c r="R54" s="23"/>
      <c r="S54" s="34"/>
      <c r="T54" s="30">
        <f t="shared" si="2"/>
        <v>2811</v>
      </c>
      <c r="U54" s="30">
        <f t="shared" si="2"/>
        <v>2883.615</v>
      </c>
    </row>
    <row r="55" spans="1:21" ht="15" customHeight="1">
      <c r="A55" s="9">
        <v>18</v>
      </c>
      <c r="B55" s="9"/>
      <c r="C55" s="10" t="s">
        <v>54</v>
      </c>
      <c r="D55" s="13"/>
      <c r="E55" s="9">
        <v>121</v>
      </c>
      <c r="F55" s="13"/>
      <c r="G55" s="9" t="s">
        <v>21</v>
      </c>
      <c r="H55" s="34"/>
      <c r="I55" s="34"/>
      <c r="J55" s="34"/>
      <c r="K55" s="34"/>
      <c r="L55" s="34"/>
      <c r="M55" s="34"/>
      <c r="N55" s="34"/>
      <c r="O55" s="30"/>
      <c r="P55" s="34"/>
      <c r="Q55" s="34"/>
      <c r="R55" s="30"/>
      <c r="S55" s="34"/>
      <c r="T55" s="30" t="e">
        <f>AVERAGE(H23,K23,N23,Q23,T23,H55,K55,N55,Q55)</f>
        <v>#REF!</v>
      </c>
      <c r="U55" s="30" t="e">
        <f>AVERAGE(I23,L23,O23,R23,U23,I55,L55,O55,R55)</f>
        <v>#REF!</v>
      </c>
    </row>
    <row r="56" spans="1:21" ht="15" customHeight="1">
      <c r="A56" s="9">
        <v>19</v>
      </c>
      <c r="B56" s="9"/>
      <c r="C56" s="10" t="s">
        <v>55</v>
      </c>
      <c r="D56" s="13"/>
      <c r="E56" s="9">
        <v>125</v>
      </c>
      <c r="F56" s="10" t="s">
        <v>56</v>
      </c>
      <c r="G56" s="9" t="s">
        <v>21</v>
      </c>
      <c r="H56" s="34"/>
      <c r="I56" s="23"/>
      <c r="J56" s="34"/>
      <c r="K56" s="34"/>
      <c r="L56" s="23"/>
      <c r="M56" s="34"/>
      <c r="N56" s="34"/>
      <c r="O56" s="23"/>
      <c r="P56" s="34"/>
      <c r="Q56" s="34"/>
      <c r="R56" s="23"/>
      <c r="S56" s="34"/>
      <c r="T56" s="30" t="e">
        <f>AVERAGE(H24,K24,N24,Q24,T24,H56,K56,N56,Q56)</f>
        <v>#REF!</v>
      </c>
      <c r="U56" s="30" t="e">
        <f>AVERAGE(I24,L24,O24,R24,U24,I56,L56,O56,R56)</f>
        <v>#REF!</v>
      </c>
    </row>
    <row r="57" spans="1:21" s="104" customFormat="1" ht="24" customHeight="1">
      <c r="A57" s="7">
        <v>20</v>
      </c>
      <c r="B57" s="6" t="s">
        <v>57</v>
      </c>
      <c r="C57" s="11" t="s">
        <v>58</v>
      </c>
      <c r="D57" s="14"/>
      <c r="E57" s="7"/>
      <c r="F57" s="21" t="s">
        <v>59</v>
      </c>
      <c r="G57" s="7" t="s">
        <v>21</v>
      </c>
      <c r="H57" s="83">
        <f>H59*0.75+H61*0.25</f>
        <v>300.5</v>
      </c>
      <c r="I57" s="29">
        <f>I59*0.75+I61*0.25</f>
        <v>318.309075</v>
      </c>
      <c r="J57" s="29"/>
      <c r="K57" s="83">
        <f>K59*0.75+K61*0.25</f>
        <v>293.5</v>
      </c>
      <c r="L57" s="29">
        <f>L59*0.75+L61*0.25</f>
        <v>311.133025</v>
      </c>
      <c r="M57" s="29"/>
      <c r="N57" s="83">
        <f>N59*0.75+N61*0.25</f>
        <v>289.25</v>
      </c>
      <c r="O57" s="29">
        <f>O59*0.75+O61*0.25</f>
        <v>306.77613749999995</v>
      </c>
      <c r="P57" s="29"/>
      <c r="Q57" s="83">
        <f>Q59*0.75+Q61*0.25</f>
        <v>287.25</v>
      </c>
      <c r="R57" s="29">
        <f>R59*0.75+R61*0.25</f>
        <v>304.7258375</v>
      </c>
      <c r="S57" s="29"/>
      <c r="T57" s="83">
        <f>(H25+K25+N25+Q25+T25+H57+K57+N57+Q57)/9</f>
        <v>294.15277777777777</v>
      </c>
      <c r="U57" s="83">
        <f>U59*0.75+U61*0.25</f>
        <v>311.80222013888886</v>
      </c>
    </row>
    <row r="58" spans="1:21" ht="15" customHeight="1">
      <c r="A58" s="9">
        <v>21</v>
      </c>
      <c r="B58" s="9"/>
      <c r="C58" s="13" t="s">
        <v>60</v>
      </c>
      <c r="D58" s="13"/>
      <c r="E58" s="9">
        <v>832</v>
      </c>
      <c r="F58" s="10" t="s">
        <v>61</v>
      </c>
      <c r="G58" s="9" t="s">
        <v>21</v>
      </c>
      <c r="H58" s="23">
        <f aca="true" t="shared" si="3" ref="H58:H64">I58/1.015/1.01-10</f>
        <v>301.5093400965713</v>
      </c>
      <c r="I58" s="23">
        <v>319.3438</v>
      </c>
      <c r="J58" s="300"/>
      <c r="K58" s="23">
        <f>L58/1.015/1.01-10</f>
        <v>301.5093400965713</v>
      </c>
      <c r="L58" s="23">
        <v>319.3438</v>
      </c>
      <c r="M58" s="300"/>
      <c r="N58" s="23">
        <f>O58/1.015/1.01-10</f>
        <v>286.5093400965712</v>
      </c>
      <c r="O58" s="23">
        <v>303.9665499999999</v>
      </c>
      <c r="P58" s="300"/>
      <c r="Q58" s="23">
        <f>R58/1.015/1.01-10</f>
        <v>284.50934009657124</v>
      </c>
      <c r="R58" s="23">
        <v>301.91625</v>
      </c>
      <c r="S58" s="150"/>
      <c r="T58" s="30">
        <f>(H26+K26+N26+Q26+T26+H58+K58+N58+Q58)/9</f>
        <v>295.23156231879346</v>
      </c>
      <c r="U58" s="30">
        <f>AVERAGE(I26,L26,O26,R26,U26,I58,L58,O58,R58)</f>
        <v>312.90813611111105</v>
      </c>
    </row>
    <row r="59" spans="1:21" ht="15" customHeight="1">
      <c r="A59" s="9">
        <v>22</v>
      </c>
      <c r="B59" s="9"/>
      <c r="C59" s="13" t="s">
        <v>60</v>
      </c>
      <c r="D59" s="13"/>
      <c r="E59" s="9"/>
      <c r="F59" s="10" t="s">
        <v>62</v>
      </c>
      <c r="G59" s="9" t="s">
        <v>21</v>
      </c>
      <c r="H59" s="23">
        <f t="shared" si="3"/>
        <v>282</v>
      </c>
      <c r="I59" s="23">
        <v>299.3438</v>
      </c>
      <c r="J59" s="300"/>
      <c r="K59" s="23">
        <f>L59/1.015/1.01-10</f>
        <v>282</v>
      </c>
      <c r="L59" s="23">
        <v>299.3438</v>
      </c>
      <c r="M59" s="300"/>
      <c r="N59" s="23">
        <f>O59/1.015/1.01-10</f>
        <v>267</v>
      </c>
      <c r="O59" s="23">
        <v>283.9665499999999</v>
      </c>
      <c r="P59" s="300"/>
      <c r="Q59" s="23">
        <f>R59/1.015/1.01-10</f>
        <v>265</v>
      </c>
      <c r="R59" s="23">
        <v>281.91625</v>
      </c>
      <c r="S59" s="150"/>
      <c r="T59" s="30">
        <f>(H27+K27+N27+Q27+T27+H59+K59+N59+Q59)/9</f>
        <v>275.72222222222223</v>
      </c>
      <c r="U59" s="30">
        <f>AVERAGE(I27,L27,O27,R27,U27,I59,L59,O59,R59)</f>
        <v>292.90813611111105</v>
      </c>
    </row>
    <row r="60" spans="1:24" ht="15" customHeight="1">
      <c r="A60" s="9">
        <v>23</v>
      </c>
      <c r="B60" s="9"/>
      <c r="C60" s="13" t="s">
        <v>63</v>
      </c>
      <c r="D60" s="13"/>
      <c r="E60" s="9">
        <v>833</v>
      </c>
      <c r="F60" s="10" t="s">
        <v>61</v>
      </c>
      <c r="G60" s="9" t="s">
        <v>21</v>
      </c>
      <c r="H60" s="23">
        <f t="shared" si="3"/>
        <v>375.5093400965713</v>
      </c>
      <c r="I60" s="23">
        <v>395.2049</v>
      </c>
      <c r="J60" s="300"/>
      <c r="K60" s="23">
        <f>L60/1.015/1.01-10</f>
        <v>347.5093400965712</v>
      </c>
      <c r="L60" s="23">
        <v>366.50069999999994</v>
      </c>
      <c r="M60" s="300"/>
      <c r="N60" s="23">
        <f>O60/1.015/1.01-10</f>
        <v>375.5093400965713</v>
      </c>
      <c r="O60" s="23">
        <v>395.2049</v>
      </c>
      <c r="P60" s="300"/>
      <c r="Q60" s="23">
        <f>R60/1.015/1.01-10</f>
        <v>373.50934009657124</v>
      </c>
      <c r="R60" s="23">
        <v>393.15459999999996</v>
      </c>
      <c r="S60" s="150"/>
      <c r="T60" s="30">
        <f>(H28+K28+N28+Q28+T28+H60+K60+N60+Q60)/9</f>
        <v>368.9537845410157</v>
      </c>
      <c r="U60" s="30">
        <f>AVERAGE(I28,L28,O28,R28,U28,I60,L60,O60,R60)</f>
        <v>388.48447222222217</v>
      </c>
      <c r="W60" s="173"/>
      <c r="X60" s="173"/>
    </row>
    <row r="61" spans="1:21" ht="15" customHeight="1">
      <c r="A61" s="9">
        <v>24</v>
      </c>
      <c r="B61" s="9"/>
      <c r="C61" s="13" t="s">
        <v>63</v>
      </c>
      <c r="D61" s="13"/>
      <c r="E61" s="9"/>
      <c r="F61" s="10" t="s">
        <v>62</v>
      </c>
      <c r="G61" s="9" t="s">
        <v>21</v>
      </c>
      <c r="H61" s="23">
        <f t="shared" si="3"/>
        <v>356</v>
      </c>
      <c r="I61" s="23">
        <v>375.2049</v>
      </c>
      <c r="J61" s="300"/>
      <c r="K61" s="23">
        <f>L61/1.015/1.01-10</f>
        <v>328</v>
      </c>
      <c r="L61" s="23">
        <v>346.50069999999994</v>
      </c>
      <c r="M61" s="300"/>
      <c r="N61" s="23">
        <f>O61/1.015/1.01-10</f>
        <v>356</v>
      </c>
      <c r="O61" s="23">
        <v>375.2049</v>
      </c>
      <c r="P61" s="300"/>
      <c r="Q61" s="23">
        <f>R61/1.015/1.01-10</f>
        <v>354</v>
      </c>
      <c r="R61" s="23">
        <v>373.15459999999996</v>
      </c>
      <c r="S61" s="150"/>
      <c r="T61" s="30">
        <f>(H29+K29+N29+Q29+T29+H61+K61+N61+Q61)/9</f>
        <v>349.44444444444446</v>
      </c>
      <c r="U61" s="30">
        <f>AVERAGE(I29,L29,O29,R29,U29,I61,L61,O61,R61)</f>
        <v>368.48447222222217</v>
      </c>
    </row>
    <row r="62" spans="1:21" ht="15" customHeight="1" hidden="1">
      <c r="A62" s="9">
        <v>25</v>
      </c>
      <c r="B62" s="6" t="s">
        <v>64</v>
      </c>
      <c r="C62" s="15" t="s">
        <v>65</v>
      </c>
      <c r="D62" s="16"/>
      <c r="E62" s="26"/>
      <c r="F62" s="27" t="s">
        <v>66</v>
      </c>
      <c r="G62" s="26" t="s">
        <v>67</v>
      </c>
      <c r="H62" s="345">
        <f t="shared" si="3"/>
        <v>-3.854557869580061</v>
      </c>
      <c r="I62" s="38">
        <v>6.3</v>
      </c>
      <c r="J62" s="28"/>
      <c r="K62" s="28"/>
      <c r="L62" s="38">
        <v>6.3</v>
      </c>
      <c r="M62" s="28"/>
      <c r="N62" s="28"/>
      <c r="O62" s="38">
        <v>6.3</v>
      </c>
      <c r="P62" s="28"/>
      <c r="Q62" s="28"/>
      <c r="R62" s="23">
        <v>6.3</v>
      </c>
      <c r="S62" s="28"/>
      <c r="T62" s="30"/>
      <c r="U62" s="38">
        <v>6.3</v>
      </c>
    </row>
    <row r="63" spans="1:21" ht="15" customHeight="1" hidden="1">
      <c r="A63" s="9">
        <v>26</v>
      </c>
      <c r="B63" s="6"/>
      <c r="C63" s="15" t="s">
        <v>65</v>
      </c>
      <c r="D63" s="16"/>
      <c r="E63" s="26">
        <v>862</v>
      </c>
      <c r="F63" s="27" t="s">
        <v>68</v>
      </c>
      <c r="G63" s="26" t="s">
        <v>67</v>
      </c>
      <c r="H63" s="345">
        <f t="shared" si="3"/>
        <v>-3.4155977174072083</v>
      </c>
      <c r="I63" s="38">
        <v>6.75</v>
      </c>
      <c r="J63" s="28"/>
      <c r="K63" s="28"/>
      <c r="L63" s="38">
        <v>6.75</v>
      </c>
      <c r="M63" s="28"/>
      <c r="N63" s="28"/>
      <c r="O63" s="38">
        <v>6.75</v>
      </c>
      <c r="P63" s="28"/>
      <c r="Q63" s="28"/>
      <c r="R63" s="23">
        <v>6.75</v>
      </c>
      <c r="S63" s="28"/>
      <c r="T63" s="30"/>
      <c r="U63" s="38">
        <v>6.75</v>
      </c>
    </row>
    <row r="64" spans="1:22" ht="15" customHeight="1" hidden="1">
      <c r="A64" s="9">
        <v>27</v>
      </c>
      <c r="B64" s="17"/>
      <c r="C64" s="10" t="s">
        <v>69</v>
      </c>
      <c r="D64" s="18"/>
      <c r="E64" s="26">
        <v>863</v>
      </c>
      <c r="F64" s="27" t="s">
        <v>70</v>
      </c>
      <c r="G64" s="26" t="s">
        <v>67</v>
      </c>
      <c r="H64" s="345">
        <f t="shared" si="3"/>
        <v>-4.410574062332341</v>
      </c>
      <c r="I64" s="38">
        <v>5.73</v>
      </c>
      <c r="J64" s="28"/>
      <c r="K64" s="28"/>
      <c r="L64" s="38">
        <v>5.73</v>
      </c>
      <c r="M64" s="28"/>
      <c r="N64" s="28"/>
      <c r="O64" s="38">
        <v>5.73</v>
      </c>
      <c r="P64" s="28"/>
      <c r="Q64" s="28"/>
      <c r="R64" s="23">
        <v>5.73</v>
      </c>
      <c r="S64" s="28"/>
      <c r="T64" s="30"/>
      <c r="U64" s="38">
        <v>5.73</v>
      </c>
      <c r="V64" s="173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78"/>
      <c r="E2" s="104"/>
      <c r="F2" s="7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19"/>
      <c r="C3" s="19"/>
      <c r="D3" s="19"/>
      <c r="E3" s="19"/>
      <c r="F3" s="19"/>
      <c r="G3" s="19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55"/>
      <c r="N4" s="344" t="s">
        <v>102</v>
      </c>
      <c r="O4" s="348"/>
      <c r="P4" s="355"/>
      <c r="Q4" s="344"/>
      <c r="R4" s="348"/>
      <c r="S4" s="355"/>
      <c r="T4" s="344"/>
      <c r="U4" s="348"/>
      <c r="V4" s="355"/>
      <c r="W4" s="43"/>
      <c r="X4" s="362" t="s">
        <v>105</v>
      </c>
      <c r="Y4" s="129" t="s">
        <v>15</v>
      </c>
    </row>
    <row r="5" spans="1:25" ht="21.75" customHeight="1">
      <c r="A5" s="53"/>
      <c r="B5" s="53"/>
      <c r="C5" s="108"/>
      <c r="D5" s="109"/>
      <c r="E5" s="53"/>
      <c r="F5" s="53"/>
      <c r="G5" s="53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3"/>
      <c r="Y5" s="364"/>
    </row>
    <row r="6" spans="1:25" s="104" customFormat="1" ht="23.25" customHeight="1">
      <c r="A6" s="7">
        <v>1</v>
      </c>
      <c r="B6" s="6" t="s">
        <v>16</v>
      </c>
      <c r="C6" s="6" t="s">
        <v>17</v>
      </c>
      <c r="D6" s="8" t="s">
        <v>18</v>
      </c>
      <c r="E6" s="9" t="s">
        <v>19</v>
      </c>
      <c r="F6" s="21" t="s">
        <v>20</v>
      </c>
      <c r="G6" s="7" t="s">
        <v>21</v>
      </c>
      <c r="H6" s="343">
        <f>H7*0.8+H8*0.2</f>
        <v>2253.2000000000003</v>
      </c>
      <c r="I6" s="343">
        <f>I7*0.8+I8*0.2</f>
        <v>2317.448</v>
      </c>
      <c r="J6" s="30"/>
      <c r="K6" s="349"/>
      <c r="L6" s="349"/>
      <c r="M6" s="356"/>
      <c r="N6" s="29"/>
      <c r="O6" s="22"/>
      <c r="P6" s="29"/>
      <c r="Q6" s="29"/>
      <c r="R6" s="22"/>
      <c r="S6" s="29"/>
      <c r="T6" s="29"/>
      <c r="U6" s="29"/>
      <c r="V6" s="29"/>
      <c r="W6" s="7"/>
      <c r="Y6" s="235">
        <v>3370</v>
      </c>
    </row>
    <row r="7" spans="1:25" ht="25.5" customHeight="1">
      <c r="A7" s="9">
        <v>2</v>
      </c>
      <c r="B7" s="9"/>
      <c r="C7" s="9"/>
      <c r="D7" s="10" t="s">
        <v>22</v>
      </c>
      <c r="E7" s="9"/>
      <c r="F7" s="10" t="s">
        <v>23</v>
      </c>
      <c r="G7" s="9" t="s">
        <v>21</v>
      </c>
      <c r="H7" s="23">
        <v>2251</v>
      </c>
      <c r="I7" s="23">
        <f aca="true" t="shared" si="0" ref="I7:I24">(H7+30)*1.015</f>
        <v>2315.2149999999997</v>
      </c>
      <c r="J7" s="31"/>
      <c r="K7" s="350"/>
      <c r="L7" s="23"/>
      <c r="M7" s="350"/>
      <c r="N7" s="34"/>
      <c r="O7" s="23"/>
      <c r="P7" s="34"/>
      <c r="Q7" s="34"/>
      <c r="R7" s="23"/>
      <c r="S7" s="34"/>
      <c r="T7" s="34"/>
      <c r="U7" s="23"/>
      <c r="V7" s="34"/>
      <c r="W7" s="9"/>
      <c r="Y7" s="235">
        <v>3370</v>
      </c>
    </row>
    <row r="8" spans="1:25" ht="12" customHeight="1">
      <c r="A8" s="9">
        <v>3</v>
      </c>
      <c r="B8" s="9"/>
      <c r="C8" s="9"/>
      <c r="D8" s="10" t="s">
        <v>24</v>
      </c>
      <c r="E8" s="9"/>
      <c r="F8" s="10" t="s">
        <v>25</v>
      </c>
      <c r="G8" s="9" t="s">
        <v>21</v>
      </c>
      <c r="H8" s="23">
        <v>2262</v>
      </c>
      <c r="I8" s="23">
        <f t="shared" si="0"/>
        <v>2326.3799999999997</v>
      </c>
      <c r="J8" s="32" t="s">
        <v>89</v>
      </c>
      <c r="K8" s="351"/>
      <c r="L8" s="350"/>
      <c r="M8" s="351"/>
      <c r="N8" s="34"/>
      <c r="O8" s="23"/>
      <c r="P8" s="34"/>
      <c r="Q8" s="34"/>
      <c r="R8" s="23"/>
      <c r="S8" s="34"/>
      <c r="T8" s="34"/>
      <c r="U8" s="23"/>
      <c r="V8" s="34"/>
      <c r="W8" s="9"/>
      <c r="Y8" s="235">
        <v>3370</v>
      </c>
    </row>
    <row r="9" spans="1:25" s="104" customFormat="1" ht="33" customHeight="1">
      <c r="A9" s="7">
        <v>4</v>
      </c>
      <c r="B9" s="9"/>
      <c r="C9" s="6" t="s">
        <v>26</v>
      </c>
      <c r="D9" s="11" t="s">
        <v>27</v>
      </c>
      <c r="E9" s="9">
        <v>112</v>
      </c>
      <c r="F9" s="21" t="s">
        <v>28</v>
      </c>
      <c r="G9" s="7" t="s">
        <v>21</v>
      </c>
      <c r="H9" s="82">
        <f>H10*0.03+H11*0.38+H12*0.27+H13*0.32</f>
        <v>2113.8</v>
      </c>
      <c r="I9" s="82">
        <f>I10*0.03+I11*0.38+I12*0.27+I13*0.32</f>
        <v>2175.957</v>
      </c>
      <c r="J9" s="201"/>
      <c r="K9" s="349"/>
      <c r="L9" s="349"/>
      <c r="M9" s="349"/>
      <c r="N9" s="29"/>
      <c r="O9" s="22"/>
      <c r="P9" s="29"/>
      <c r="Q9" s="29"/>
      <c r="R9" s="22"/>
      <c r="S9" s="29"/>
      <c r="T9" s="29"/>
      <c r="U9" s="29"/>
      <c r="V9" s="29"/>
      <c r="W9" s="7"/>
      <c r="Y9" s="235">
        <f>(Y10*0.03+Y11*0.38+Y12*0.27+Y13*0.32)</f>
        <v>3095.2</v>
      </c>
    </row>
    <row r="10" spans="1:26" ht="15" customHeight="1">
      <c r="A10" s="9">
        <v>5</v>
      </c>
      <c r="B10" s="9"/>
      <c r="C10" s="9"/>
      <c r="D10" s="10" t="s">
        <v>29</v>
      </c>
      <c r="E10" s="9"/>
      <c r="F10" s="10" t="s">
        <v>30</v>
      </c>
      <c r="G10" s="9" t="s">
        <v>21</v>
      </c>
      <c r="H10" s="23">
        <v>2196</v>
      </c>
      <c r="I10" s="23">
        <f t="shared" si="0"/>
        <v>2259.39</v>
      </c>
      <c r="J10" s="185" t="s">
        <v>90</v>
      </c>
      <c r="K10" s="351"/>
      <c r="L10" s="350"/>
      <c r="M10" s="357"/>
      <c r="N10" s="34"/>
      <c r="O10" s="23"/>
      <c r="P10" s="34"/>
      <c r="Q10" s="34"/>
      <c r="R10" s="23"/>
      <c r="S10" s="34"/>
      <c r="T10" s="34"/>
      <c r="U10" s="23"/>
      <c r="V10" s="34"/>
      <c r="W10" s="9"/>
      <c r="Y10" s="345">
        <v>3120</v>
      </c>
      <c r="Z10" s="365">
        <f>Y10-H10</f>
        <v>924</v>
      </c>
    </row>
    <row r="11" spans="1:26" ht="15" customHeight="1">
      <c r="A11" s="9">
        <v>6</v>
      </c>
      <c r="B11" s="9"/>
      <c r="C11" s="9"/>
      <c r="D11" s="10" t="s">
        <v>29</v>
      </c>
      <c r="E11" s="9"/>
      <c r="F11" s="10" t="s">
        <v>31</v>
      </c>
      <c r="G11" s="9" t="s">
        <v>21</v>
      </c>
      <c r="H11" s="23">
        <v>2186</v>
      </c>
      <c r="I11" s="23">
        <f t="shared" si="0"/>
        <v>2249.24</v>
      </c>
      <c r="J11" s="185" t="s">
        <v>90</v>
      </c>
      <c r="K11" s="352"/>
      <c r="L11" s="350"/>
      <c r="M11" s="357"/>
      <c r="N11" s="34"/>
      <c r="O11" s="23"/>
      <c r="P11" s="34"/>
      <c r="Q11" s="34"/>
      <c r="R11" s="23"/>
      <c r="S11" s="34"/>
      <c r="T11" s="34"/>
      <c r="U11" s="23"/>
      <c r="V11" s="34"/>
      <c r="W11" s="9"/>
      <c r="Y11" s="345">
        <v>3100</v>
      </c>
      <c r="Z11" s="365">
        <f aca="true" t="shared" si="1" ref="Z11:Z24">Y11-H11</f>
        <v>914</v>
      </c>
    </row>
    <row r="12" spans="1:26" ht="15" customHeight="1">
      <c r="A12" s="9">
        <v>7</v>
      </c>
      <c r="B12" s="9"/>
      <c r="C12" s="9"/>
      <c r="D12" s="10" t="s">
        <v>29</v>
      </c>
      <c r="E12" s="9"/>
      <c r="F12" s="10" t="s">
        <v>32</v>
      </c>
      <c r="G12" s="9" t="s">
        <v>21</v>
      </c>
      <c r="H12" s="23">
        <v>2036</v>
      </c>
      <c r="I12" s="23">
        <f t="shared" si="0"/>
        <v>2096.99</v>
      </c>
      <c r="J12" s="185" t="s">
        <v>90</v>
      </c>
      <c r="K12" s="351"/>
      <c r="L12" s="350"/>
      <c r="M12" s="357"/>
      <c r="N12" s="34"/>
      <c r="O12" s="23"/>
      <c r="P12" s="34"/>
      <c r="Q12" s="34"/>
      <c r="R12" s="23"/>
      <c r="S12" s="34"/>
      <c r="T12" s="34"/>
      <c r="U12" s="23"/>
      <c r="V12" s="34"/>
      <c r="W12" s="9"/>
      <c r="Y12" s="345">
        <v>3080</v>
      </c>
      <c r="Z12" s="365">
        <f t="shared" si="1"/>
        <v>1044</v>
      </c>
    </row>
    <row r="13" spans="1:26" ht="15" customHeight="1">
      <c r="A13" s="9">
        <v>8</v>
      </c>
      <c r="B13" s="9"/>
      <c r="C13" s="9"/>
      <c r="D13" s="10" t="s">
        <v>29</v>
      </c>
      <c r="E13" s="9"/>
      <c r="F13" s="10" t="s">
        <v>33</v>
      </c>
      <c r="G13" s="9" t="s">
        <v>21</v>
      </c>
      <c r="H13" s="23">
        <v>2086</v>
      </c>
      <c r="I13" s="23">
        <f t="shared" si="0"/>
        <v>2147.74</v>
      </c>
      <c r="J13" s="185" t="s">
        <v>90</v>
      </c>
      <c r="K13" s="351"/>
      <c r="L13" s="350"/>
      <c r="M13" s="357"/>
      <c r="N13" s="34"/>
      <c r="O13" s="23"/>
      <c r="P13" s="34"/>
      <c r="Q13" s="34"/>
      <c r="R13" s="23"/>
      <c r="S13" s="34"/>
      <c r="T13" s="34"/>
      <c r="U13" s="23"/>
      <c r="V13" s="34"/>
      <c r="W13" s="9"/>
      <c r="Y13" s="345">
        <v>3100</v>
      </c>
      <c r="Z13" s="365">
        <f t="shared" si="1"/>
        <v>1014</v>
      </c>
    </row>
    <row r="14" spans="1:26" s="104" customFormat="1" ht="22.5" customHeight="1">
      <c r="A14" s="9">
        <v>9</v>
      </c>
      <c r="B14" s="9"/>
      <c r="C14" s="6" t="s">
        <v>34</v>
      </c>
      <c r="D14" s="11" t="s">
        <v>35</v>
      </c>
      <c r="E14" s="9">
        <v>182</v>
      </c>
      <c r="F14" s="21" t="s">
        <v>36</v>
      </c>
      <c r="G14" s="7" t="s">
        <v>21</v>
      </c>
      <c r="H14" s="195">
        <f>H15*0.27+H16*0.67+H18*0.06</f>
        <v>2166.1600000000003</v>
      </c>
      <c r="I14" s="195">
        <f>I15*0.27+I16*0.67+I18*0.06</f>
        <v>2229.1024</v>
      </c>
      <c r="J14" s="196"/>
      <c r="K14" s="350"/>
      <c r="L14" s="350"/>
      <c r="M14" s="350"/>
      <c r="N14" s="29"/>
      <c r="O14" s="24"/>
      <c r="P14" s="24"/>
      <c r="Q14" s="29"/>
      <c r="R14" s="24"/>
      <c r="S14" s="24"/>
      <c r="T14" s="29"/>
      <c r="U14" s="24"/>
      <c r="V14" s="24"/>
      <c r="W14" s="9"/>
      <c r="Y14" s="345">
        <v>3441</v>
      </c>
      <c r="Z14" s="365">
        <f t="shared" si="1"/>
        <v>1274.8399999999997</v>
      </c>
    </row>
    <row r="15" spans="1:26" ht="15.75" customHeight="1">
      <c r="A15" s="9">
        <v>10</v>
      </c>
      <c r="B15" s="9"/>
      <c r="C15" s="9"/>
      <c r="D15" s="10" t="s">
        <v>37</v>
      </c>
      <c r="E15" s="9"/>
      <c r="F15" s="13" t="s">
        <v>38</v>
      </c>
      <c r="G15" s="9" t="s">
        <v>21</v>
      </c>
      <c r="H15" s="23">
        <v>2105</v>
      </c>
      <c r="I15" s="23">
        <f t="shared" si="0"/>
        <v>2167.0249999999996</v>
      </c>
      <c r="J15" s="32" t="s">
        <v>91</v>
      </c>
      <c r="K15" s="351"/>
      <c r="L15" s="350"/>
      <c r="M15" s="357"/>
      <c r="N15" s="34"/>
      <c r="O15" s="23"/>
      <c r="P15" s="34"/>
      <c r="Q15" s="34"/>
      <c r="R15" s="23"/>
      <c r="S15" s="34"/>
      <c r="T15" s="34"/>
      <c r="U15" s="23"/>
      <c r="V15" s="34"/>
      <c r="W15" s="9"/>
      <c r="Y15" s="366">
        <v>3450</v>
      </c>
      <c r="Z15" s="365">
        <f t="shared" si="1"/>
        <v>1345</v>
      </c>
    </row>
    <row r="16" spans="1:26" ht="15.75" customHeight="1">
      <c r="A16" s="9">
        <v>11</v>
      </c>
      <c r="B16" s="9"/>
      <c r="C16" s="9"/>
      <c r="D16" s="10" t="s">
        <v>39</v>
      </c>
      <c r="E16" s="9"/>
      <c r="F16" s="13" t="s">
        <v>40</v>
      </c>
      <c r="G16" s="9" t="s">
        <v>21</v>
      </c>
      <c r="H16" s="23">
        <v>2185</v>
      </c>
      <c r="I16" s="23">
        <f t="shared" si="0"/>
        <v>2248.225</v>
      </c>
      <c r="J16" s="32" t="s">
        <v>92</v>
      </c>
      <c r="K16" s="350"/>
      <c r="L16" s="350"/>
      <c r="M16" s="357"/>
      <c r="N16" s="34"/>
      <c r="O16" s="23"/>
      <c r="P16" s="34"/>
      <c r="Q16" s="34"/>
      <c r="R16" s="23"/>
      <c r="S16" s="34"/>
      <c r="T16" s="34"/>
      <c r="U16" s="23"/>
      <c r="V16" s="34"/>
      <c r="W16" s="9"/>
      <c r="Y16" s="366">
        <v>3450</v>
      </c>
      <c r="Z16" s="365">
        <f t="shared" si="1"/>
        <v>1265</v>
      </c>
    </row>
    <row r="17" spans="1:26" ht="15.75" customHeight="1">
      <c r="A17" s="9">
        <v>12</v>
      </c>
      <c r="B17" s="9"/>
      <c r="C17" s="9"/>
      <c r="D17" s="10" t="s">
        <v>41</v>
      </c>
      <c r="E17" s="9"/>
      <c r="F17" s="13" t="s">
        <v>42</v>
      </c>
      <c r="G17" s="9" t="s">
        <v>21</v>
      </c>
      <c r="H17" s="23">
        <v>2155</v>
      </c>
      <c r="I17" s="23">
        <f t="shared" si="0"/>
        <v>2217.7749999999996</v>
      </c>
      <c r="J17" s="32" t="s">
        <v>91</v>
      </c>
      <c r="K17" s="351"/>
      <c r="L17" s="350"/>
      <c r="M17" s="357"/>
      <c r="N17" s="34"/>
      <c r="O17" s="23"/>
      <c r="P17" s="34"/>
      <c r="Q17" s="34"/>
      <c r="R17" s="23"/>
      <c r="S17" s="34"/>
      <c r="T17" s="34"/>
      <c r="U17" s="23"/>
      <c r="V17" s="34"/>
      <c r="W17" s="9"/>
      <c r="Y17" s="366">
        <v>3300</v>
      </c>
      <c r="Z17" s="365">
        <f t="shared" si="1"/>
        <v>1145</v>
      </c>
    </row>
    <row r="18" spans="1:26" ht="15.75" customHeight="1">
      <c r="A18" s="9">
        <v>13</v>
      </c>
      <c r="B18" s="9"/>
      <c r="C18" s="6" t="s">
        <v>43</v>
      </c>
      <c r="D18" s="9"/>
      <c r="E18" s="9">
        <v>183</v>
      </c>
      <c r="F18" s="13" t="s">
        <v>44</v>
      </c>
      <c r="G18" s="9" t="s">
        <v>21</v>
      </c>
      <c r="H18" s="23">
        <v>2231</v>
      </c>
      <c r="I18" s="23">
        <f t="shared" si="0"/>
        <v>2294.915</v>
      </c>
      <c r="J18" s="185" t="s">
        <v>107</v>
      </c>
      <c r="K18" s="350"/>
      <c r="L18" s="350"/>
      <c r="M18" s="350"/>
      <c r="N18" s="34"/>
      <c r="O18" s="23"/>
      <c r="P18" s="34"/>
      <c r="Q18" s="34"/>
      <c r="R18" s="23"/>
      <c r="S18" s="34"/>
      <c r="T18" s="34"/>
      <c r="U18" s="23"/>
      <c r="V18" s="34"/>
      <c r="W18" s="9"/>
      <c r="Y18" s="366">
        <v>4100</v>
      </c>
      <c r="Z18" s="365">
        <f t="shared" si="1"/>
        <v>1869</v>
      </c>
    </row>
    <row r="19" spans="1:26" s="104" customFormat="1" ht="36.75">
      <c r="A19" s="9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7" t="s">
        <v>21</v>
      </c>
      <c r="H19" s="195">
        <f>H20*0.6+H21*0.2+H22*0.2</f>
        <v>2388.6000000000004</v>
      </c>
      <c r="I19" s="195">
        <f>I20*0.6+I21*0.2+I22*0.2</f>
        <v>2454.879</v>
      </c>
      <c r="J19" s="23"/>
      <c r="K19" s="350"/>
      <c r="L19" s="350"/>
      <c r="M19" s="350"/>
      <c r="N19" s="29"/>
      <c r="O19" s="24"/>
      <c r="P19" s="24"/>
      <c r="Q19" s="29"/>
      <c r="R19" s="24"/>
      <c r="S19" s="24"/>
      <c r="T19" s="29"/>
      <c r="U19" s="24"/>
      <c r="V19" s="24"/>
      <c r="W19" s="9"/>
      <c r="Y19" s="345">
        <v>4870</v>
      </c>
      <c r="Z19" s="365">
        <f t="shared" si="1"/>
        <v>2481.3999999999996</v>
      </c>
    </row>
    <row r="20" spans="1:26" ht="15.75" customHeight="1">
      <c r="A20" s="9">
        <v>15</v>
      </c>
      <c r="B20" s="9"/>
      <c r="C20" s="9"/>
      <c r="D20" s="10" t="s">
        <v>48</v>
      </c>
      <c r="E20" s="25"/>
      <c r="F20" s="10" t="s">
        <v>49</v>
      </c>
      <c r="G20" s="9" t="s">
        <v>21</v>
      </c>
      <c r="H20" s="23">
        <v>2205</v>
      </c>
      <c r="I20" s="23">
        <f t="shared" si="0"/>
        <v>2268.5249999999996</v>
      </c>
      <c r="J20" s="31" t="s">
        <v>93</v>
      </c>
      <c r="K20" s="350"/>
      <c r="L20" s="350"/>
      <c r="M20" s="357"/>
      <c r="N20" s="34"/>
      <c r="O20" s="23"/>
      <c r="P20" s="34"/>
      <c r="Q20" s="34"/>
      <c r="R20" s="23"/>
      <c r="S20" s="34"/>
      <c r="T20" s="34"/>
      <c r="U20" s="23"/>
      <c r="V20" s="34"/>
      <c r="W20" s="9"/>
      <c r="Y20" s="345">
        <v>4500</v>
      </c>
      <c r="Z20" s="365">
        <f t="shared" si="1"/>
        <v>2295</v>
      </c>
    </row>
    <row r="21" spans="1:26" ht="15.75" customHeight="1">
      <c r="A21" s="9">
        <v>16</v>
      </c>
      <c r="B21" s="9"/>
      <c r="C21" s="9"/>
      <c r="D21" s="10" t="s">
        <v>50</v>
      </c>
      <c r="E21" s="25">
        <v>192</v>
      </c>
      <c r="F21" s="10" t="s">
        <v>51</v>
      </c>
      <c r="G21" s="9" t="s">
        <v>21</v>
      </c>
      <c r="H21" s="23">
        <v>2517</v>
      </c>
      <c r="I21" s="23">
        <f t="shared" si="0"/>
        <v>2585.205</v>
      </c>
      <c r="J21" s="31" t="s">
        <v>93</v>
      </c>
      <c r="K21" s="353"/>
      <c r="L21" s="353"/>
      <c r="M21" s="358"/>
      <c r="N21" s="34"/>
      <c r="O21" s="34"/>
      <c r="P21" s="34"/>
      <c r="Q21" s="34"/>
      <c r="R21" s="34"/>
      <c r="S21" s="34"/>
      <c r="T21" s="34"/>
      <c r="U21" s="34"/>
      <c r="V21" s="34"/>
      <c r="W21" s="9"/>
      <c r="Y21" s="367">
        <v>5850</v>
      </c>
      <c r="Z21" s="365">
        <f t="shared" si="1"/>
        <v>3333</v>
      </c>
    </row>
    <row r="22" spans="1:26" ht="15.75" customHeight="1">
      <c r="A22" s="9">
        <v>17</v>
      </c>
      <c r="B22" s="9"/>
      <c r="C22" s="9"/>
      <c r="D22" s="10" t="s">
        <v>52</v>
      </c>
      <c r="E22" s="25">
        <v>191</v>
      </c>
      <c r="F22" s="10" t="s">
        <v>53</v>
      </c>
      <c r="G22" s="9" t="s">
        <v>21</v>
      </c>
      <c r="H22" s="23">
        <v>2811</v>
      </c>
      <c r="I22" s="23">
        <f t="shared" si="0"/>
        <v>2883.615</v>
      </c>
      <c r="J22" s="32" t="s">
        <v>108</v>
      </c>
      <c r="K22" s="350"/>
      <c r="L22" s="350"/>
      <c r="M22" s="351"/>
      <c r="N22" s="34"/>
      <c r="O22" s="359"/>
      <c r="P22" s="34"/>
      <c r="Q22" s="34"/>
      <c r="R22" s="23"/>
      <c r="S22" s="34"/>
      <c r="T22" s="34"/>
      <c r="U22" s="23"/>
      <c r="V22" s="34"/>
      <c r="W22" s="9"/>
      <c r="Y22" s="345">
        <v>5000</v>
      </c>
      <c r="Z22" s="365">
        <f t="shared" si="1"/>
        <v>2189</v>
      </c>
    </row>
    <row r="23" spans="1:26" ht="15.75" customHeight="1">
      <c r="A23" s="9">
        <v>18</v>
      </c>
      <c r="B23" s="9"/>
      <c r="C23" s="10" t="s">
        <v>54</v>
      </c>
      <c r="D23" s="13"/>
      <c r="E23" s="9">
        <v>121</v>
      </c>
      <c r="F23" s="13"/>
      <c r="G23" s="9" t="s">
        <v>21</v>
      </c>
      <c r="H23" s="23" t="e">
        <f>#REF!+50-300</f>
        <v>#REF!</v>
      </c>
      <c r="I23" s="23" t="e">
        <f t="shared" si="0"/>
        <v>#REF!</v>
      </c>
      <c r="J23" s="23"/>
      <c r="K23" s="350"/>
      <c r="L23" s="350"/>
      <c r="M23" s="350"/>
      <c r="N23" s="360"/>
      <c r="O23" s="34"/>
      <c r="P23" s="34"/>
      <c r="Q23" s="34"/>
      <c r="R23" s="34"/>
      <c r="S23" s="34"/>
      <c r="T23" s="34"/>
      <c r="U23" s="34"/>
      <c r="V23" s="34"/>
      <c r="W23" s="9"/>
      <c r="Y23" s="345">
        <v>3800</v>
      </c>
      <c r="Z23" s="365" t="e">
        <f t="shared" si="1"/>
        <v>#REF!</v>
      </c>
    </row>
    <row r="24" spans="1:26" ht="15.75" customHeight="1">
      <c r="A24" s="9">
        <v>19</v>
      </c>
      <c r="B24" s="9"/>
      <c r="C24" s="10" t="s">
        <v>55</v>
      </c>
      <c r="D24" s="13"/>
      <c r="E24" s="9">
        <v>125</v>
      </c>
      <c r="F24" s="10" t="s">
        <v>56</v>
      </c>
      <c r="G24" s="9" t="s">
        <v>21</v>
      </c>
      <c r="H24" s="23" t="e">
        <f>#REF!+50-300</f>
        <v>#REF!</v>
      </c>
      <c r="I24" s="23" t="e">
        <f t="shared" si="0"/>
        <v>#REF!</v>
      </c>
      <c r="J24" s="354"/>
      <c r="K24" s="350"/>
      <c r="L24" s="350"/>
      <c r="M24" s="351"/>
      <c r="N24" s="34"/>
      <c r="O24" s="23"/>
      <c r="P24" s="34"/>
      <c r="Q24" s="34"/>
      <c r="R24" s="23"/>
      <c r="S24" s="34"/>
      <c r="T24" s="34"/>
      <c r="U24" s="23"/>
      <c r="V24" s="34"/>
      <c r="W24" s="9"/>
      <c r="Y24" s="345">
        <v>5300</v>
      </c>
      <c r="Z24" s="365" t="e">
        <f t="shared" si="1"/>
        <v>#REF!</v>
      </c>
    </row>
    <row r="25" spans="1:43" s="104" customFormat="1" ht="22.5" customHeight="1">
      <c r="A25" s="7">
        <v>20</v>
      </c>
      <c r="B25" s="6" t="s">
        <v>57</v>
      </c>
      <c r="C25" s="11" t="s">
        <v>58</v>
      </c>
      <c r="D25" s="14"/>
      <c r="E25" s="7"/>
      <c r="F25" s="21" t="s">
        <v>59</v>
      </c>
      <c r="G25" s="7" t="s">
        <v>21</v>
      </c>
      <c r="H25" s="83">
        <f>H27*0.75+H29*0.25</f>
        <v>287.25</v>
      </c>
      <c r="I25" s="83">
        <f>I27*0.75+I29*0.25</f>
        <v>304.7258375</v>
      </c>
      <c r="J25" s="149"/>
      <c r="K25" s="83">
        <f>K27*0.75+K29*0.25</f>
        <v>295.5</v>
      </c>
      <c r="L25" s="83">
        <f>L27*0.75+L29*0.25</f>
        <v>313.18332499999997</v>
      </c>
      <c r="M25" s="149"/>
      <c r="N25" s="83">
        <f>N27*0.75+N29*0.25</f>
        <v>303.5</v>
      </c>
      <c r="O25" s="83">
        <f>O27*0.75+O29*0.25</f>
        <v>321.38452499999994</v>
      </c>
      <c r="P25" s="149"/>
      <c r="Q25" s="83"/>
      <c r="R25" s="83"/>
      <c r="S25" s="149"/>
      <c r="T25" s="83"/>
      <c r="U25" s="83"/>
      <c r="V25" s="149"/>
      <c r="W25" s="9"/>
      <c r="Y25" s="368"/>
      <c r="Z25" s="369"/>
      <c r="AA25" s="345">
        <v>310</v>
      </c>
      <c r="AB25" s="23"/>
      <c r="AC25" s="345">
        <v>295</v>
      </c>
      <c r="AD25" s="23"/>
      <c r="AE25" s="345">
        <v>310</v>
      </c>
      <c r="AF25" s="23"/>
      <c r="AG25" s="345">
        <v>305</v>
      </c>
      <c r="AH25" s="23"/>
      <c r="AI25" s="310">
        <v>305</v>
      </c>
      <c r="AJ25" s="23" t="s">
        <v>109</v>
      </c>
      <c r="AK25" s="23">
        <v>295</v>
      </c>
      <c r="AL25" s="23"/>
      <c r="AM25" s="310">
        <v>305</v>
      </c>
      <c r="AN25" s="23"/>
      <c r="AO25" s="310">
        <v>305</v>
      </c>
      <c r="AP25" s="23"/>
      <c r="AQ25" s="345">
        <v>300</v>
      </c>
    </row>
    <row r="26" spans="1:23" ht="15.75" customHeight="1">
      <c r="A26" s="9">
        <v>21</v>
      </c>
      <c r="B26" s="9"/>
      <c r="C26" s="13" t="s">
        <v>60</v>
      </c>
      <c r="D26" s="13"/>
      <c r="E26" s="9">
        <v>832</v>
      </c>
      <c r="F26" s="10" t="s">
        <v>61</v>
      </c>
      <c r="G26" s="9" t="s">
        <v>21</v>
      </c>
      <c r="H26" s="23">
        <f>I26/1.015/1.01-10</f>
        <v>284.50934009657124</v>
      </c>
      <c r="I26" s="23">
        <v>301.91625</v>
      </c>
      <c r="J26" s="23"/>
      <c r="K26" s="23">
        <f>L26/1.015/1.01-10</f>
        <v>296.5093400965712</v>
      </c>
      <c r="L26" s="23">
        <v>314.21804999999995</v>
      </c>
      <c r="M26" s="23"/>
      <c r="N26" s="23">
        <f>O26/1.015/1.01-10</f>
        <v>311.50934009657124</v>
      </c>
      <c r="O26" s="23">
        <v>329.59529999999995</v>
      </c>
      <c r="P26" s="23"/>
      <c r="Q26" s="23"/>
      <c r="R26" s="23"/>
      <c r="S26" s="23"/>
      <c r="T26" s="23"/>
      <c r="U26" s="23"/>
      <c r="V26" s="9"/>
      <c r="W26" s="9"/>
    </row>
    <row r="27" spans="1:23" ht="15.75" customHeight="1">
      <c r="A27" s="9">
        <v>22</v>
      </c>
      <c r="B27" s="9"/>
      <c r="C27" s="13" t="s">
        <v>60</v>
      </c>
      <c r="D27" s="13"/>
      <c r="E27" s="9"/>
      <c r="F27" s="10" t="s">
        <v>62</v>
      </c>
      <c r="G27" s="9" t="s">
        <v>21</v>
      </c>
      <c r="H27" s="23">
        <f>I27/1.015/1.01-10</f>
        <v>265</v>
      </c>
      <c r="I27" s="23">
        <v>281.91625</v>
      </c>
      <c r="J27" s="23"/>
      <c r="K27" s="23">
        <f>L27/1.015/1.01-10</f>
        <v>277</v>
      </c>
      <c r="L27" s="23">
        <v>294.21804999999995</v>
      </c>
      <c r="M27" s="23"/>
      <c r="N27" s="23">
        <f>O27/1.015/1.01-10</f>
        <v>292</v>
      </c>
      <c r="O27" s="23">
        <v>309.59529999999995</v>
      </c>
      <c r="P27" s="23"/>
      <c r="Q27" s="23"/>
      <c r="R27" s="23"/>
      <c r="S27" s="23"/>
      <c r="T27" s="23"/>
      <c r="U27" s="23"/>
      <c r="V27" s="9"/>
      <c r="W27" s="9"/>
    </row>
    <row r="28" spans="1:23" ht="15.75" customHeight="1">
      <c r="A28" s="9">
        <v>23</v>
      </c>
      <c r="B28" s="9"/>
      <c r="C28" s="13" t="s">
        <v>63</v>
      </c>
      <c r="D28" s="13"/>
      <c r="E28" s="9">
        <v>833</v>
      </c>
      <c r="F28" s="10" t="s">
        <v>61</v>
      </c>
      <c r="G28" s="9" t="s">
        <v>21</v>
      </c>
      <c r="H28" s="23">
        <f>I28/1.015/1.01-10</f>
        <v>373.50934009657124</v>
      </c>
      <c r="I28" s="23">
        <v>393.15459999999996</v>
      </c>
      <c r="J28" s="23"/>
      <c r="K28" s="23">
        <f>L28/1.015/1.01-10</f>
        <v>370.5093400965713</v>
      </c>
      <c r="L28" s="23">
        <v>390.07914999999997</v>
      </c>
      <c r="M28" s="23"/>
      <c r="N28" s="23">
        <f>O28/1.015/1.01-10</f>
        <v>357.50934009657124</v>
      </c>
      <c r="O28" s="23">
        <v>376.75219999999996</v>
      </c>
      <c r="P28" s="23"/>
      <c r="Q28" s="23"/>
      <c r="R28" s="23"/>
      <c r="S28" s="23"/>
      <c r="T28" s="23"/>
      <c r="U28" s="23"/>
      <c r="V28" s="9"/>
      <c r="W28" s="9"/>
    </row>
    <row r="29" spans="1:23" ht="15.75" customHeight="1">
      <c r="A29" s="9">
        <v>24</v>
      </c>
      <c r="B29" s="9"/>
      <c r="C29" s="13" t="s">
        <v>63</v>
      </c>
      <c r="D29" s="13"/>
      <c r="E29" s="9"/>
      <c r="F29" s="10" t="s">
        <v>62</v>
      </c>
      <c r="G29" s="9" t="s">
        <v>21</v>
      </c>
      <c r="H29" s="23">
        <f>I29/1.015/1.01-10</f>
        <v>354</v>
      </c>
      <c r="I29" s="23">
        <v>373.15459999999996</v>
      </c>
      <c r="J29" s="23"/>
      <c r="K29" s="23">
        <f>L29/1.015/1.01-10</f>
        <v>351</v>
      </c>
      <c r="L29" s="23">
        <v>370.07914999999997</v>
      </c>
      <c r="M29" s="23"/>
      <c r="N29" s="23">
        <f>O29/1.015/1.01-10</f>
        <v>338</v>
      </c>
      <c r="O29" s="23">
        <v>356.75219999999996</v>
      </c>
      <c r="P29" s="23"/>
      <c r="Q29" s="23"/>
      <c r="R29" s="23"/>
      <c r="S29" s="23"/>
      <c r="T29" s="23"/>
      <c r="U29" s="23"/>
      <c r="V29" s="9"/>
      <c r="W29" s="9"/>
    </row>
    <row r="30" spans="1:22" s="210" customFormat="1" ht="15.75" customHeight="1" hidden="1">
      <c r="A30" s="9">
        <v>25</v>
      </c>
      <c r="B30" s="6" t="s">
        <v>64</v>
      </c>
      <c r="C30" s="15" t="s">
        <v>65</v>
      </c>
      <c r="D30" s="16"/>
      <c r="E30" s="26"/>
      <c r="F30" s="27" t="s">
        <v>66</v>
      </c>
      <c r="G30" s="26" t="s">
        <v>67</v>
      </c>
      <c r="H30" s="28"/>
      <c r="I30" s="38">
        <v>6.3</v>
      </c>
      <c r="J30" s="28"/>
      <c r="K30" s="28"/>
      <c r="L30" s="38">
        <v>6.3</v>
      </c>
      <c r="M30" s="28"/>
      <c r="N30" s="28"/>
      <c r="O30" s="38">
        <v>6.3</v>
      </c>
      <c r="P30" s="28"/>
      <c r="Q30" s="28"/>
      <c r="R30" s="38">
        <v>6.3</v>
      </c>
      <c r="S30" s="28"/>
      <c r="T30" s="28"/>
      <c r="U30" s="38">
        <v>6.3</v>
      </c>
      <c r="V30" s="28"/>
    </row>
    <row r="31" spans="1:22" s="210" customFormat="1" ht="15.75" customHeight="1" hidden="1">
      <c r="A31" s="9">
        <v>26</v>
      </c>
      <c r="B31" s="6"/>
      <c r="C31" s="15" t="s">
        <v>65</v>
      </c>
      <c r="D31" s="16"/>
      <c r="E31" s="26">
        <v>862</v>
      </c>
      <c r="F31" s="27" t="s">
        <v>68</v>
      </c>
      <c r="G31" s="26" t="s">
        <v>67</v>
      </c>
      <c r="H31" s="28"/>
      <c r="I31" s="38">
        <v>6.75</v>
      </c>
      <c r="J31" s="28"/>
      <c r="K31" s="28"/>
      <c r="L31" s="38">
        <v>6.75</v>
      </c>
      <c r="M31" s="28"/>
      <c r="N31" s="28"/>
      <c r="O31" s="38">
        <v>6.75</v>
      </c>
      <c r="P31" s="28"/>
      <c r="Q31" s="28"/>
      <c r="R31" s="38">
        <v>6.75</v>
      </c>
      <c r="S31" s="28"/>
      <c r="T31" s="28"/>
      <c r="U31" s="38">
        <v>6.75</v>
      </c>
      <c r="V31" s="28"/>
    </row>
    <row r="32" spans="1:22" s="189" customFormat="1" ht="15.75" customHeight="1" hidden="1">
      <c r="A32" s="9">
        <v>27</v>
      </c>
      <c r="B32" s="17"/>
      <c r="C32" s="10" t="s">
        <v>69</v>
      </c>
      <c r="D32" s="18"/>
      <c r="E32" s="26">
        <v>863</v>
      </c>
      <c r="F32" s="27" t="s">
        <v>70</v>
      </c>
      <c r="G32" s="26" t="s">
        <v>67</v>
      </c>
      <c r="H32" s="28"/>
      <c r="I32" s="38">
        <v>5.73</v>
      </c>
      <c r="J32" s="28"/>
      <c r="K32" s="28"/>
      <c r="L32" s="38">
        <v>5.73</v>
      </c>
      <c r="M32" s="28"/>
      <c r="N32" s="28"/>
      <c r="O32" s="38">
        <v>5.73</v>
      </c>
      <c r="P32" s="28"/>
      <c r="Q32" s="28"/>
      <c r="R32" s="38">
        <v>5.73</v>
      </c>
      <c r="S32" s="28"/>
      <c r="T32" s="28"/>
      <c r="U32" s="38">
        <v>5.73</v>
      </c>
      <c r="V32" s="28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78"/>
      <c r="E34" s="104"/>
      <c r="F34" s="7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19"/>
      <c r="C35" s="19"/>
      <c r="D35" s="19"/>
      <c r="E35" s="19"/>
      <c r="F35" s="19"/>
      <c r="G35" s="19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103</v>
      </c>
      <c r="I36" s="348"/>
      <c r="J36" s="355"/>
      <c r="K36" s="344" t="s">
        <v>104</v>
      </c>
      <c r="L36" s="348"/>
      <c r="M36" s="355"/>
      <c r="N36" s="344" t="s">
        <v>111</v>
      </c>
      <c r="O36" s="348"/>
      <c r="P36" s="355"/>
      <c r="Q36" s="342"/>
      <c r="R36" s="346"/>
      <c r="S36" s="347"/>
      <c r="T36" s="221"/>
      <c r="U36" s="361"/>
      <c r="V36" s="43"/>
      <c r="W36" s="363"/>
    </row>
    <row r="37" spans="1:22" ht="22.5">
      <c r="A37" s="53"/>
      <c r="B37" s="53"/>
      <c r="C37" s="108"/>
      <c r="D37" s="109"/>
      <c r="E37" s="53"/>
      <c r="F37" s="53"/>
      <c r="G37" s="53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1"/>
      <c r="U37" s="361"/>
      <c r="V37" s="43"/>
    </row>
    <row r="38" spans="1:22" s="104" customFormat="1" ht="23.25" customHeight="1">
      <c r="A38" s="7">
        <v>1</v>
      </c>
      <c r="B38" s="6" t="s">
        <v>16</v>
      </c>
      <c r="C38" s="6" t="s">
        <v>17</v>
      </c>
      <c r="D38" s="8" t="s">
        <v>18</v>
      </c>
      <c r="E38" s="9" t="s">
        <v>19</v>
      </c>
      <c r="F38" s="21" t="s">
        <v>20</v>
      </c>
      <c r="G38" s="7" t="s">
        <v>21</v>
      </c>
      <c r="H38" s="29"/>
      <c r="I38" s="22"/>
      <c r="J38" s="29"/>
      <c r="K38" s="29"/>
      <c r="L38" s="22"/>
      <c r="M38" s="29"/>
      <c r="N38" s="29"/>
      <c r="O38" s="29"/>
      <c r="P38" s="29"/>
      <c r="Q38" s="29"/>
      <c r="R38" s="22"/>
      <c r="S38" s="29"/>
      <c r="T38" s="22"/>
      <c r="U38" s="22"/>
      <c r="V38" s="7"/>
    </row>
    <row r="39" spans="1:22" ht="25.5">
      <c r="A39" s="9">
        <v>2</v>
      </c>
      <c r="B39" s="9"/>
      <c r="C39" s="9"/>
      <c r="D39" s="10" t="s">
        <v>22</v>
      </c>
      <c r="E39" s="9"/>
      <c r="F39" s="10" t="s">
        <v>23</v>
      </c>
      <c r="G39" s="9" t="s">
        <v>21</v>
      </c>
      <c r="H39" s="34"/>
      <c r="I39" s="23"/>
      <c r="J39" s="34"/>
      <c r="K39" s="34"/>
      <c r="L39" s="23"/>
      <c r="M39" s="34"/>
      <c r="N39" s="34"/>
      <c r="O39" s="23"/>
      <c r="P39" s="34"/>
      <c r="Q39" s="34"/>
      <c r="R39" s="23"/>
      <c r="S39" s="34"/>
      <c r="T39" s="30"/>
      <c r="U39" s="30"/>
      <c r="V39" s="9"/>
    </row>
    <row r="40" spans="1:22" ht="15" customHeight="1">
      <c r="A40" s="9">
        <v>3</v>
      </c>
      <c r="B40" s="9"/>
      <c r="C40" s="9"/>
      <c r="D40" s="10" t="s">
        <v>24</v>
      </c>
      <c r="E40" s="9"/>
      <c r="F40" s="10" t="s">
        <v>25</v>
      </c>
      <c r="G40" s="9" t="s">
        <v>21</v>
      </c>
      <c r="H40" s="34"/>
      <c r="I40" s="23"/>
      <c r="J40" s="34"/>
      <c r="K40" s="34"/>
      <c r="L40" s="23"/>
      <c r="M40" s="34"/>
      <c r="N40" s="34"/>
      <c r="O40" s="23"/>
      <c r="P40" s="34"/>
      <c r="Q40" s="34"/>
      <c r="R40" s="23"/>
      <c r="S40" s="34"/>
      <c r="T40" s="30"/>
      <c r="U40" s="30"/>
      <c r="V40" s="9"/>
    </row>
    <row r="41" spans="1:22" ht="36" customHeight="1">
      <c r="A41" s="7">
        <v>4</v>
      </c>
      <c r="B41" s="9"/>
      <c r="C41" s="6" t="s">
        <v>26</v>
      </c>
      <c r="D41" s="11" t="s">
        <v>27</v>
      </c>
      <c r="E41" s="9">
        <v>112</v>
      </c>
      <c r="F41" s="21" t="s">
        <v>28</v>
      </c>
      <c r="G41" s="7" t="s">
        <v>21</v>
      </c>
      <c r="H41" s="29"/>
      <c r="I41" s="29"/>
      <c r="J41" s="29"/>
      <c r="K41" s="29"/>
      <c r="L41" s="29"/>
      <c r="M41" s="29"/>
      <c r="N41" s="29"/>
      <c r="O41" s="22"/>
      <c r="P41" s="29"/>
      <c r="Q41" s="29"/>
      <c r="R41" s="29"/>
      <c r="S41" s="29"/>
      <c r="T41" s="22"/>
      <c r="U41" s="22"/>
      <c r="V41" s="7"/>
    </row>
    <row r="42" spans="1:22" ht="15" customHeight="1">
      <c r="A42" s="9">
        <v>5</v>
      </c>
      <c r="B42" s="9"/>
      <c r="C42" s="9"/>
      <c r="D42" s="10" t="s">
        <v>29</v>
      </c>
      <c r="E42" s="9"/>
      <c r="F42" s="10" t="s">
        <v>30</v>
      </c>
      <c r="G42" s="9" t="s">
        <v>21</v>
      </c>
      <c r="H42" s="34"/>
      <c r="I42" s="23"/>
      <c r="J42" s="34"/>
      <c r="K42" s="34"/>
      <c r="L42" s="23"/>
      <c r="M42" s="34"/>
      <c r="N42" s="34"/>
      <c r="O42" s="23"/>
      <c r="P42" s="34"/>
      <c r="Q42" s="34"/>
      <c r="R42" s="23"/>
      <c r="S42" s="34"/>
      <c r="T42" s="30"/>
      <c r="U42" s="30"/>
      <c r="V42" s="9"/>
    </row>
    <row r="43" spans="1:22" ht="15" customHeight="1">
      <c r="A43" s="9">
        <v>6</v>
      </c>
      <c r="B43" s="9"/>
      <c r="C43" s="9"/>
      <c r="D43" s="10" t="s">
        <v>29</v>
      </c>
      <c r="E43" s="9"/>
      <c r="F43" s="10" t="s">
        <v>31</v>
      </c>
      <c r="G43" s="9" t="s">
        <v>21</v>
      </c>
      <c r="H43" s="34"/>
      <c r="I43" s="23"/>
      <c r="J43" s="34"/>
      <c r="K43" s="34"/>
      <c r="L43" s="23"/>
      <c r="M43" s="34"/>
      <c r="N43" s="34"/>
      <c r="O43" s="23"/>
      <c r="P43" s="34"/>
      <c r="Q43" s="34"/>
      <c r="R43" s="23"/>
      <c r="S43" s="34"/>
      <c r="T43" s="30"/>
      <c r="U43" s="30"/>
      <c r="V43" s="9"/>
    </row>
    <row r="44" spans="1:22" ht="15" customHeight="1">
      <c r="A44" s="9">
        <v>7</v>
      </c>
      <c r="B44" s="9"/>
      <c r="C44" s="9"/>
      <c r="D44" s="10" t="s">
        <v>29</v>
      </c>
      <c r="E44" s="9"/>
      <c r="F44" s="10" t="s">
        <v>32</v>
      </c>
      <c r="G44" s="9" t="s">
        <v>21</v>
      </c>
      <c r="H44" s="34"/>
      <c r="I44" s="23"/>
      <c r="J44" s="34"/>
      <c r="K44" s="34"/>
      <c r="L44" s="23"/>
      <c r="M44" s="34"/>
      <c r="N44" s="34"/>
      <c r="O44" s="23"/>
      <c r="P44" s="34"/>
      <c r="Q44" s="34"/>
      <c r="R44" s="23"/>
      <c r="S44" s="34"/>
      <c r="T44" s="30"/>
      <c r="U44" s="30"/>
      <c r="V44" s="9"/>
    </row>
    <row r="45" spans="1:22" ht="15" customHeight="1">
      <c r="A45" s="9">
        <v>8</v>
      </c>
      <c r="B45" s="9"/>
      <c r="C45" s="9"/>
      <c r="D45" s="10" t="s">
        <v>29</v>
      </c>
      <c r="E45" s="9"/>
      <c r="F45" s="10" t="s">
        <v>33</v>
      </c>
      <c r="G45" s="9" t="s">
        <v>21</v>
      </c>
      <c r="H45" s="34"/>
      <c r="I45" s="23"/>
      <c r="J45" s="34"/>
      <c r="K45" s="34"/>
      <c r="L45" s="23"/>
      <c r="M45" s="34"/>
      <c r="N45" s="34"/>
      <c r="O45" s="23"/>
      <c r="P45" s="34"/>
      <c r="Q45" s="34"/>
      <c r="R45" s="23"/>
      <c r="S45" s="34"/>
      <c r="T45" s="30"/>
      <c r="U45" s="30"/>
      <c r="V45" s="9"/>
    </row>
    <row r="46" spans="1:22" s="104" customFormat="1" ht="24" customHeight="1">
      <c r="A46" s="7">
        <v>9</v>
      </c>
      <c r="B46" s="9"/>
      <c r="C46" s="6" t="s">
        <v>34</v>
      </c>
      <c r="D46" s="11" t="s">
        <v>35</v>
      </c>
      <c r="E46" s="9">
        <v>182</v>
      </c>
      <c r="F46" s="21" t="s">
        <v>36</v>
      </c>
      <c r="G46" s="7" t="s">
        <v>21</v>
      </c>
      <c r="H46" s="29"/>
      <c r="I46" s="24"/>
      <c r="J46" s="24"/>
      <c r="K46" s="29"/>
      <c r="L46" s="24"/>
      <c r="M46" s="24"/>
      <c r="N46" s="29"/>
      <c r="O46" s="24"/>
      <c r="P46" s="24"/>
      <c r="Q46" s="29"/>
      <c r="R46" s="24"/>
      <c r="S46" s="24"/>
      <c r="T46" s="22"/>
      <c r="U46" s="22"/>
      <c r="V46" s="9"/>
    </row>
    <row r="47" spans="1:22" ht="15" customHeight="1">
      <c r="A47" s="9">
        <v>10</v>
      </c>
      <c r="B47" s="9"/>
      <c r="C47" s="9"/>
      <c r="D47" s="10" t="s">
        <v>37</v>
      </c>
      <c r="E47" s="9"/>
      <c r="F47" s="13" t="s">
        <v>38</v>
      </c>
      <c r="G47" s="9" t="s">
        <v>21</v>
      </c>
      <c r="H47" s="34"/>
      <c r="I47" s="23"/>
      <c r="J47" s="34"/>
      <c r="K47" s="34"/>
      <c r="L47" s="23"/>
      <c r="M47" s="34"/>
      <c r="N47" s="34"/>
      <c r="O47" s="23"/>
      <c r="P47" s="34"/>
      <c r="Q47" s="34"/>
      <c r="R47" s="30"/>
      <c r="S47" s="34"/>
      <c r="T47" s="30"/>
      <c r="U47" s="30"/>
      <c r="V47" s="9"/>
    </row>
    <row r="48" spans="1:22" ht="15" customHeight="1">
      <c r="A48" s="9">
        <v>11</v>
      </c>
      <c r="B48" s="9"/>
      <c r="C48" s="9"/>
      <c r="D48" s="10" t="s">
        <v>39</v>
      </c>
      <c r="E48" s="9"/>
      <c r="F48" s="13" t="s">
        <v>40</v>
      </c>
      <c r="G48" s="9" t="s">
        <v>21</v>
      </c>
      <c r="H48" s="34"/>
      <c r="I48" s="23"/>
      <c r="J48" s="34"/>
      <c r="K48" s="34"/>
      <c r="L48" s="23"/>
      <c r="M48" s="34"/>
      <c r="N48" s="34"/>
      <c r="O48" s="23"/>
      <c r="P48" s="34"/>
      <c r="Q48" s="34"/>
      <c r="R48" s="30"/>
      <c r="S48" s="34"/>
      <c r="T48" s="30"/>
      <c r="U48" s="30"/>
      <c r="V48" s="9"/>
    </row>
    <row r="49" spans="1:22" ht="15" customHeight="1">
      <c r="A49" s="9">
        <v>12</v>
      </c>
      <c r="B49" s="9"/>
      <c r="C49" s="9"/>
      <c r="D49" s="10" t="s">
        <v>41</v>
      </c>
      <c r="E49" s="9"/>
      <c r="F49" s="13" t="s">
        <v>42</v>
      </c>
      <c r="G49" s="9" t="s">
        <v>21</v>
      </c>
      <c r="H49" s="34"/>
      <c r="I49" s="23"/>
      <c r="J49" s="34"/>
      <c r="K49" s="34"/>
      <c r="L49" s="23"/>
      <c r="M49" s="34"/>
      <c r="N49" s="34"/>
      <c r="O49" s="23"/>
      <c r="P49" s="34"/>
      <c r="Q49" s="34"/>
      <c r="R49" s="30"/>
      <c r="S49" s="34"/>
      <c r="T49" s="30"/>
      <c r="U49" s="30"/>
      <c r="V49" s="9"/>
    </row>
    <row r="50" spans="1:22" ht="15" customHeight="1">
      <c r="A50" s="9">
        <v>13</v>
      </c>
      <c r="B50" s="9"/>
      <c r="C50" s="6" t="s">
        <v>43</v>
      </c>
      <c r="D50" s="9"/>
      <c r="E50" s="9">
        <v>183</v>
      </c>
      <c r="F50" s="13" t="s">
        <v>44</v>
      </c>
      <c r="G50" s="9" t="s">
        <v>21</v>
      </c>
      <c r="H50" s="34"/>
      <c r="I50" s="23"/>
      <c r="J50" s="34"/>
      <c r="K50" s="34"/>
      <c r="L50" s="23"/>
      <c r="M50" s="34"/>
      <c r="N50" s="34"/>
      <c r="O50" s="23"/>
      <c r="P50" s="34"/>
      <c r="Q50" s="34"/>
      <c r="R50" s="23"/>
      <c r="S50" s="34"/>
      <c r="T50" s="30"/>
      <c r="U50" s="30"/>
      <c r="V50" s="9"/>
    </row>
    <row r="51" spans="1:22" s="104" customFormat="1" ht="36.75">
      <c r="A51" s="7">
        <v>14</v>
      </c>
      <c r="B51" s="9"/>
      <c r="C51" s="6" t="s">
        <v>45</v>
      </c>
      <c r="D51" s="11" t="s">
        <v>46</v>
      </c>
      <c r="E51" s="25"/>
      <c r="F51" s="21" t="s">
        <v>47</v>
      </c>
      <c r="G51" s="7" t="s">
        <v>21</v>
      </c>
      <c r="H51" s="29"/>
      <c r="I51" s="24"/>
      <c r="J51" s="24"/>
      <c r="K51" s="29"/>
      <c r="L51" s="24"/>
      <c r="M51" s="24"/>
      <c r="N51" s="29"/>
      <c r="O51" s="24"/>
      <c r="P51" s="29"/>
      <c r="Q51" s="29"/>
      <c r="R51" s="22"/>
      <c r="S51" s="29"/>
      <c r="T51" s="22"/>
      <c r="U51" s="22"/>
      <c r="V51" s="9"/>
    </row>
    <row r="52" spans="1:22" ht="15" customHeight="1">
      <c r="A52" s="9">
        <v>15</v>
      </c>
      <c r="B52" s="9"/>
      <c r="C52" s="9"/>
      <c r="D52" s="10" t="s">
        <v>48</v>
      </c>
      <c r="E52" s="25"/>
      <c r="F52" s="10" t="s">
        <v>49</v>
      </c>
      <c r="G52" s="9" t="s">
        <v>21</v>
      </c>
      <c r="H52" s="34"/>
      <c r="I52" s="23"/>
      <c r="J52" s="34"/>
      <c r="K52" s="34"/>
      <c r="L52" s="23"/>
      <c r="M52" s="34"/>
      <c r="N52" s="34"/>
      <c r="O52" s="23"/>
      <c r="P52" s="34"/>
      <c r="Q52" s="34"/>
      <c r="R52" s="23"/>
      <c r="S52" s="34"/>
      <c r="T52" s="30"/>
      <c r="U52" s="30"/>
      <c r="V52" s="9"/>
    </row>
    <row r="53" spans="1:22" ht="15" customHeight="1">
      <c r="A53" s="9">
        <v>16</v>
      </c>
      <c r="B53" s="9"/>
      <c r="C53" s="9"/>
      <c r="D53" s="10" t="s">
        <v>50</v>
      </c>
      <c r="E53" s="25">
        <v>192</v>
      </c>
      <c r="F53" s="10" t="s">
        <v>51</v>
      </c>
      <c r="G53" s="9" t="s">
        <v>21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0"/>
      <c r="U53" s="30"/>
      <c r="V53" s="9"/>
    </row>
    <row r="54" spans="1:22" ht="15" customHeight="1">
      <c r="A54" s="9">
        <v>17</v>
      </c>
      <c r="B54" s="9"/>
      <c r="C54" s="9"/>
      <c r="D54" s="10" t="s">
        <v>52</v>
      </c>
      <c r="E54" s="25">
        <v>191</v>
      </c>
      <c r="F54" s="10" t="s">
        <v>53</v>
      </c>
      <c r="G54" s="9" t="s">
        <v>21</v>
      </c>
      <c r="H54" s="34"/>
      <c r="I54" s="23"/>
      <c r="J54" s="34"/>
      <c r="K54" s="34"/>
      <c r="L54" s="23"/>
      <c r="M54" s="34"/>
      <c r="N54" s="34"/>
      <c r="O54" s="23"/>
      <c r="P54" s="34"/>
      <c r="Q54" s="34"/>
      <c r="R54" s="23"/>
      <c r="S54" s="34"/>
      <c r="T54" s="30"/>
      <c r="U54" s="30"/>
      <c r="V54" s="9"/>
    </row>
    <row r="55" spans="1:22" ht="15" customHeight="1">
      <c r="A55" s="9">
        <v>18</v>
      </c>
      <c r="B55" s="9"/>
      <c r="C55" s="10" t="s">
        <v>54</v>
      </c>
      <c r="D55" s="13"/>
      <c r="E55" s="9">
        <v>121</v>
      </c>
      <c r="F55" s="13"/>
      <c r="G55" s="9" t="s">
        <v>21</v>
      </c>
      <c r="H55" s="34"/>
      <c r="I55" s="34"/>
      <c r="J55" s="34"/>
      <c r="K55" s="34"/>
      <c r="L55" s="34"/>
      <c r="M55" s="34"/>
      <c r="N55" s="34"/>
      <c r="O55" s="30"/>
      <c r="P55" s="34"/>
      <c r="Q55" s="34"/>
      <c r="R55" s="30"/>
      <c r="S55" s="34"/>
      <c r="T55" s="30"/>
      <c r="U55" s="30"/>
      <c r="V55" s="9"/>
    </row>
    <row r="56" spans="1:22" ht="15" customHeight="1">
      <c r="A56" s="9">
        <v>19</v>
      </c>
      <c r="B56" s="9"/>
      <c r="C56" s="10" t="s">
        <v>55</v>
      </c>
      <c r="D56" s="13"/>
      <c r="E56" s="9">
        <v>125</v>
      </c>
      <c r="F56" s="10" t="s">
        <v>56</v>
      </c>
      <c r="G56" s="9" t="s">
        <v>21</v>
      </c>
      <c r="H56" s="34"/>
      <c r="I56" s="23"/>
      <c r="J56" s="34"/>
      <c r="K56" s="34"/>
      <c r="L56" s="23"/>
      <c r="M56" s="34"/>
      <c r="N56" s="34"/>
      <c r="O56" s="23"/>
      <c r="P56" s="34"/>
      <c r="Q56" s="34"/>
      <c r="R56" s="23"/>
      <c r="S56" s="34"/>
      <c r="T56" s="30"/>
      <c r="U56" s="30"/>
      <c r="V56" s="9"/>
    </row>
    <row r="57" spans="1:22" s="104" customFormat="1" ht="24" customHeight="1">
      <c r="A57" s="7">
        <v>20</v>
      </c>
      <c r="B57" s="6" t="s">
        <v>57</v>
      </c>
      <c r="C57" s="11" t="s">
        <v>58</v>
      </c>
      <c r="D57" s="14"/>
      <c r="E57" s="7"/>
      <c r="F57" s="21" t="s">
        <v>59</v>
      </c>
      <c r="G57" s="7" t="s">
        <v>21</v>
      </c>
      <c r="H57" s="83">
        <f>H59*0.75+H61*0.25</f>
        <v>300.5</v>
      </c>
      <c r="I57" s="29">
        <f>I59*0.75+I61*0.25</f>
        <v>318.309075</v>
      </c>
      <c r="J57" s="29"/>
      <c r="K57" s="83">
        <f>K59*0.75+K61*0.25</f>
        <v>293.5</v>
      </c>
      <c r="L57" s="29">
        <f>L59*0.75+L61*0.25</f>
        <v>311.133025</v>
      </c>
      <c r="M57" s="29"/>
      <c r="N57" s="83">
        <f>N59*0.75+N61*0.25</f>
        <v>289.25</v>
      </c>
      <c r="O57" s="29">
        <f>O59*0.75+O61*0.25</f>
        <v>306.77613749999995</v>
      </c>
      <c r="P57" s="29"/>
      <c r="Q57" s="83"/>
      <c r="R57" s="29"/>
      <c r="S57" s="29"/>
      <c r="T57" s="83"/>
      <c r="U57" s="83"/>
      <c r="V57" s="9"/>
    </row>
    <row r="58" spans="1:22" ht="15" customHeight="1">
      <c r="A58" s="9">
        <v>21</v>
      </c>
      <c r="B58" s="9"/>
      <c r="C58" s="13" t="s">
        <v>60</v>
      </c>
      <c r="D58" s="13"/>
      <c r="E58" s="9">
        <v>832</v>
      </c>
      <c r="F58" s="10" t="s">
        <v>61</v>
      </c>
      <c r="G58" s="9" t="s">
        <v>21</v>
      </c>
      <c r="H58" s="23">
        <f aca="true" t="shared" si="2" ref="H58:H64">I58/1.015/1.01-10</f>
        <v>301.5093400965713</v>
      </c>
      <c r="I58" s="23">
        <v>319.3438</v>
      </c>
      <c r="J58" s="300"/>
      <c r="K58" s="23">
        <f>L58/1.015/1.01-10</f>
        <v>301.5093400965713</v>
      </c>
      <c r="L58" s="23">
        <v>319.3438</v>
      </c>
      <c r="M58" s="300"/>
      <c r="N58" s="23">
        <f>O58/1.015/1.01-10</f>
        <v>286.5093400965712</v>
      </c>
      <c r="O58" s="23">
        <v>303.9665499999999</v>
      </c>
      <c r="P58" s="300"/>
      <c r="Q58" s="23"/>
      <c r="R58" s="23"/>
      <c r="S58" s="150"/>
      <c r="T58" s="30"/>
      <c r="U58" s="30"/>
      <c r="V58" s="9"/>
    </row>
    <row r="59" spans="1:22" ht="15" customHeight="1">
      <c r="A59" s="9">
        <v>22</v>
      </c>
      <c r="B59" s="9"/>
      <c r="C59" s="13" t="s">
        <v>60</v>
      </c>
      <c r="D59" s="13"/>
      <c r="E59" s="9"/>
      <c r="F59" s="10" t="s">
        <v>62</v>
      </c>
      <c r="G59" s="9" t="s">
        <v>21</v>
      </c>
      <c r="H59" s="23">
        <f t="shared" si="2"/>
        <v>282</v>
      </c>
      <c r="I59" s="23">
        <v>299.3438</v>
      </c>
      <c r="J59" s="300"/>
      <c r="K59" s="23">
        <f>L59/1.015/1.01-10</f>
        <v>282</v>
      </c>
      <c r="L59" s="23">
        <v>299.3438</v>
      </c>
      <c r="M59" s="300"/>
      <c r="N59" s="23">
        <f>O59/1.015/1.01-10</f>
        <v>267</v>
      </c>
      <c r="O59" s="23">
        <v>283.9665499999999</v>
      </c>
      <c r="P59" s="300"/>
      <c r="Q59" s="23"/>
      <c r="R59" s="23"/>
      <c r="S59" s="150"/>
      <c r="T59" s="30"/>
      <c r="U59" s="30"/>
      <c r="V59" s="9"/>
    </row>
    <row r="60" spans="1:24" ht="15" customHeight="1">
      <c r="A60" s="9">
        <v>23</v>
      </c>
      <c r="B60" s="9"/>
      <c r="C60" s="13" t="s">
        <v>63</v>
      </c>
      <c r="D60" s="13"/>
      <c r="E60" s="9">
        <v>833</v>
      </c>
      <c r="F60" s="10" t="s">
        <v>61</v>
      </c>
      <c r="G60" s="9" t="s">
        <v>21</v>
      </c>
      <c r="H60" s="23">
        <f t="shared" si="2"/>
        <v>375.5093400965713</v>
      </c>
      <c r="I60" s="23">
        <v>395.2049</v>
      </c>
      <c r="J60" s="300"/>
      <c r="K60" s="23">
        <f>L60/1.015/1.01-10</f>
        <v>347.5093400965712</v>
      </c>
      <c r="L60" s="23">
        <v>366.50069999999994</v>
      </c>
      <c r="M60" s="300"/>
      <c r="N60" s="23">
        <f>O60/1.015/1.01-10</f>
        <v>375.5093400965713</v>
      </c>
      <c r="O60" s="23">
        <v>395.2049</v>
      </c>
      <c r="P60" s="300"/>
      <c r="Q60" s="23"/>
      <c r="R60" s="23"/>
      <c r="S60" s="150"/>
      <c r="T60" s="30"/>
      <c r="U60" s="30"/>
      <c r="V60" s="9"/>
      <c r="X60" s="173"/>
    </row>
    <row r="61" spans="1:22" ht="15" customHeight="1">
      <c r="A61" s="9">
        <v>24</v>
      </c>
      <c r="B61" s="9"/>
      <c r="C61" s="13" t="s">
        <v>63</v>
      </c>
      <c r="D61" s="13"/>
      <c r="E61" s="9"/>
      <c r="F61" s="10" t="s">
        <v>62</v>
      </c>
      <c r="G61" s="9" t="s">
        <v>21</v>
      </c>
      <c r="H61" s="23">
        <f t="shared" si="2"/>
        <v>356</v>
      </c>
      <c r="I61" s="23">
        <v>375.2049</v>
      </c>
      <c r="J61" s="300"/>
      <c r="K61" s="23">
        <f>L61/1.015/1.01-10</f>
        <v>328</v>
      </c>
      <c r="L61" s="23">
        <v>346.50069999999994</v>
      </c>
      <c r="M61" s="300"/>
      <c r="N61" s="23">
        <f>O61/1.015/1.01-10</f>
        <v>356</v>
      </c>
      <c r="O61" s="23">
        <v>375.2049</v>
      </c>
      <c r="P61" s="300"/>
      <c r="Q61" s="23"/>
      <c r="R61" s="23"/>
      <c r="S61" s="150"/>
      <c r="T61" s="30"/>
      <c r="U61" s="30"/>
      <c r="V61" s="9"/>
    </row>
    <row r="62" spans="1:21" ht="15" customHeight="1" hidden="1">
      <c r="A62" s="9">
        <v>25</v>
      </c>
      <c r="B62" s="6" t="s">
        <v>64</v>
      </c>
      <c r="C62" s="15" t="s">
        <v>65</v>
      </c>
      <c r="D62" s="16"/>
      <c r="E62" s="26"/>
      <c r="F62" s="27" t="s">
        <v>66</v>
      </c>
      <c r="G62" s="26" t="s">
        <v>67</v>
      </c>
      <c r="H62" s="345">
        <f t="shared" si="2"/>
        <v>-3.854557869580061</v>
      </c>
      <c r="I62" s="38">
        <v>6.3</v>
      </c>
      <c r="J62" s="28"/>
      <c r="K62" s="28"/>
      <c r="L62" s="38">
        <v>6.3</v>
      </c>
      <c r="M62" s="28"/>
      <c r="N62" s="28"/>
      <c r="O62" s="38">
        <v>6.3</v>
      </c>
      <c r="P62" s="28"/>
      <c r="Q62" s="28"/>
      <c r="R62" s="23">
        <v>6.3</v>
      </c>
      <c r="S62" s="28"/>
      <c r="T62" s="30"/>
      <c r="U62" s="38">
        <v>6.3</v>
      </c>
    </row>
    <row r="63" spans="1:21" ht="15" customHeight="1" hidden="1">
      <c r="A63" s="9">
        <v>26</v>
      </c>
      <c r="B63" s="6"/>
      <c r="C63" s="15" t="s">
        <v>65</v>
      </c>
      <c r="D63" s="16"/>
      <c r="E63" s="26">
        <v>862</v>
      </c>
      <c r="F63" s="27" t="s">
        <v>68</v>
      </c>
      <c r="G63" s="26" t="s">
        <v>67</v>
      </c>
      <c r="H63" s="345">
        <f t="shared" si="2"/>
        <v>-3.4155977174072083</v>
      </c>
      <c r="I63" s="38">
        <v>6.75</v>
      </c>
      <c r="J63" s="28"/>
      <c r="K63" s="28"/>
      <c r="L63" s="38">
        <v>6.75</v>
      </c>
      <c r="M63" s="28"/>
      <c r="N63" s="28"/>
      <c r="O63" s="38">
        <v>6.75</v>
      </c>
      <c r="P63" s="28"/>
      <c r="Q63" s="28"/>
      <c r="R63" s="23">
        <v>6.75</v>
      </c>
      <c r="S63" s="28"/>
      <c r="T63" s="30"/>
      <c r="U63" s="38">
        <v>6.75</v>
      </c>
    </row>
    <row r="64" spans="1:22" ht="15" customHeight="1" hidden="1">
      <c r="A64" s="9">
        <v>27</v>
      </c>
      <c r="B64" s="17"/>
      <c r="C64" s="10" t="s">
        <v>69</v>
      </c>
      <c r="D64" s="18"/>
      <c r="E64" s="26">
        <v>863</v>
      </c>
      <c r="F64" s="27" t="s">
        <v>70</v>
      </c>
      <c r="G64" s="26" t="s">
        <v>67</v>
      </c>
      <c r="H64" s="345">
        <f t="shared" si="2"/>
        <v>-4.410574062332341</v>
      </c>
      <c r="I64" s="38">
        <v>5.73</v>
      </c>
      <c r="J64" s="28"/>
      <c r="K64" s="28"/>
      <c r="L64" s="38">
        <v>5.73</v>
      </c>
      <c r="M64" s="28"/>
      <c r="N64" s="28"/>
      <c r="O64" s="38">
        <v>5.73</v>
      </c>
      <c r="P64" s="28"/>
      <c r="Q64" s="28"/>
      <c r="R64" s="23">
        <v>5.73</v>
      </c>
      <c r="S64" s="28"/>
      <c r="T64" s="30"/>
      <c r="U64" s="38">
        <v>5.73</v>
      </c>
      <c r="V64" s="173"/>
    </row>
    <row r="65" spans="1:22" ht="21.7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104"/>
      <c r="C66" s="104"/>
      <c r="D66" s="78"/>
      <c r="E66" s="104"/>
      <c r="F66" s="7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2.75">
      <c r="A67" s="5"/>
      <c r="B67" s="19"/>
      <c r="C67" s="19"/>
      <c r="D67" s="19"/>
      <c r="E67" s="19"/>
      <c r="F67" s="19"/>
      <c r="G67" s="19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5"/>
      <c r="T67" s="5"/>
      <c r="U67" s="5"/>
      <c r="V67" s="190"/>
    </row>
    <row r="68" spans="1:22" ht="12.7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4" t="s">
        <v>112</v>
      </c>
      <c r="I68" s="348"/>
      <c r="J68" s="355"/>
      <c r="K68" s="342" t="s">
        <v>113</v>
      </c>
      <c r="L68" s="346"/>
      <c r="M68" s="347"/>
      <c r="N68" s="342" t="s">
        <v>114</v>
      </c>
      <c r="O68" s="346"/>
      <c r="P68" s="347"/>
      <c r="Q68" s="342"/>
      <c r="R68" s="346"/>
      <c r="S68" s="347"/>
      <c r="T68" s="221" t="s">
        <v>77</v>
      </c>
      <c r="U68" s="361" t="s">
        <v>115</v>
      </c>
      <c r="V68" s="43" t="s">
        <v>80</v>
      </c>
    </row>
    <row r="69" spans="1:22" ht="22.5">
      <c r="A69" s="53"/>
      <c r="B69" s="53"/>
      <c r="C69" s="108"/>
      <c r="D69" s="109"/>
      <c r="E69" s="53"/>
      <c r="F69" s="53"/>
      <c r="G69" s="53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1"/>
      <c r="U69" s="361"/>
      <c r="V69" s="43"/>
    </row>
    <row r="70" spans="1:22" ht="24">
      <c r="A70" s="7">
        <v>1</v>
      </c>
      <c r="B70" s="6" t="s">
        <v>16</v>
      </c>
      <c r="C70" s="6" t="s">
        <v>17</v>
      </c>
      <c r="D70" s="8" t="s">
        <v>18</v>
      </c>
      <c r="E70" s="9" t="s">
        <v>19</v>
      </c>
      <c r="F70" s="21" t="s">
        <v>20</v>
      </c>
      <c r="G70" s="7" t="s">
        <v>21</v>
      </c>
      <c r="H70" s="29"/>
      <c r="I70" s="22"/>
      <c r="J70" s="29"/>
      <c r="K70" s="29"/>
      <c r="L70" s="22"/>
      <c r="M70" s="29"/>
      <c r="N70" s="29"/>
      <c r="O70" s="29"/>
      <c r="P70" s="29"/>
      <c r="Q70" s="29"/>
      <c r="R70" s="22"/>
      <c r="S70" s="29"/>
      <c r="T70" s="22" t="e">
        <f>AVERAGE(H38,K38,N38,Q38,T38,H70,K70,N70,Q70)</f>
        <v>#DIV/0!</v>
      </c>
      <c r="U70" s="22" t="e">
        <f>AVERAGE(I38,L38,O38,R38,U38,I70,L70,O70,R70)</f>
        <v>#DIV/0!</v>
      </c>
      <c r="V70" s="7">
        <v>17</v>
      </c>
    </row>
    <row r="71" spans="1:22" ht="25.5">
      <c r="A71" s="9">
        <v>2</v>
      </c>
      <c r="B71" s="9"/>
      <c r="C71" s="9"/>
      <c r="D71" s="10" t="s">
        <v>22</v>
      </c>
      <c r="E71" s="9"/>
      <c r="F71" s="10" t="s">
        <v>23</v>
      </c>
      <c r="G71" s="9" t="s">
        <v>21</v>
      </c>
      <c r="H71" s="34"/>
      <c r="I71" s="23"/>
      <c r="J71" s="34"/>
      <c r="K71" s="34"/>
      <c r="L71" s="23"/>
      <c r="M71" s="34"/>
      <c r="N71" s="34"/>
      <c r="O71" s="23"/>
      <c r="P71" s="34"/>
      <c r="Q71" s="34"/>
      <c r="R71" s="23"/>
      <c r="S71" s="34"/>
      <c r="T71" s="30" t="e">
        <f aca="true" t="shared" si="3" ref="T71:T88">AVERAGE(H39,K39,N39,Q39,T39,H71,K71,N71,Q71)</f>
        <v>#DIV/0!</v>
      </c>
      <c r="U71" s="30" t="e">
        <f aca="true" t="shared" si="4" ref="U71:U88">AVERAGE(I39,L39,O39,R39,U39,I71,L71,O71,R71)</f>
        <v>#DIV/0!</v>
      </c>
      <c r="V71" s="9">
        <v>17</v>
      </c>
    </row>
    <row r="72" spans="1:22" ht="12.75">
      <c r="A72" s="9">
        <v>3</v>
      </c>
      <c r="B72" s="9"/>
      <c r="C72" s="9"/>
      <c r="D72" s="10" t="s">
        <v>24</v>
      </c>
      <c r="E72" s="9"/>
      <c r="F72" s="10" t="s">
        <v>25</v>
      </c>
      <c r="G72" s="9" t="s">
        <v>21</v>
      </c>
      <c r="H72" s="34"/>
      <c r="I72" s="23"/>
      <c r="J72" s="34"/>
      <c r="K72" s="34"/>
      <c r="L72" s="23"/>
      <c r="M72" s="34"/>
      <c r="N72" s="34"/>
      <c r="O72" s="23"/>
      <c r="P72" s="34"/>
      <c r="Q72" s="34"/>
      <c r="R72" s="23"/>
      <c r="S72" s="34"/>
      <c r="T72" s="30" t="e">
        <f t="shared" si="3"/>
        <v>#DIV/0!</v>
      </c>
      <c r="U72" s="30" t="e">
        <f t="shared" si="4"/>
        <v>#DIV/0!</v>
      </c>
      <c r="V72" s="9">
        <v>17</v>
      </c>
    </row>
    <row r="73" spans="1:22" ht="38.25">
      <c r="A73" s="7">
        <v>4</v>
      </c>
      <c r="B73" s="9"/>
      <c r="C73" s="6" t="s">
        <v>26</v>
      </c>
      <c r="D73" s="11" t="s">
        <v>27</v>
      </c>
      <c r="E73" s="9">
        <v>112</v>
      </c>
      <c r="F73" s="21" t="s">
        <v>28</v>
      </c>
      <c r="G73" s="7" t="s">
        <v>21</v>
      </c>
      <c r="H73" s="29"/>
      <c r="I73" s="29"/>
      <c r="J73" s="29"/>
      <c r="K73" s="29"/>
      <c r="L73" s="29"/>
      <c r="M73" s="29"/>
      <c r="N73" s="29"/>
      <c r="O73" s="22"/>
      <c r="P73" s="29"/>
      <c r="Q73" s="29"/>
      <c r="R73" s="29"/>
      <c r="S73" s="29"/>
      <c r="T73" s="22" t="e">
        <f t="shared" si="3"/>
        <v>#DIV/0!</v>
      </c>
      <c r="U73" s="22" t="e">
        <f t="shared" si="4"/>
        <v>#DIV/0!</v>
      </c>
      <c r="V73" s="7">
        <v>17</v>
      </c>
    </row>
    <row r="74" spans="1:22" ht="12.75">
      <c r="A74" s="9">
        <v>5</v>
      </c>
      <c r="B74" s="9"/>
      <c r="C74" s="9"/>
      <c r="D74" s="10" t="s">
        <v>29</v>
      </c>
      <c r="E74" s="9"/>
      <c r="F74" s="10" t="s">
        <v>30</v>
      </c>
      <c r="G74" s="9" t="s">
        <v>21</v>
      </c>
      <c r="H74" s="34"/>
      <c r="I74" s="23"/>
      <c r="J74" s="34"/>
      <c r="K74" s="34"/>
      <c r="L74" s="23"/>
      <c r="M74" s="34"/>
      <c r="N74" s="34"/>
      <c r="O74" s="23"/>
      <c r="P74" s="34"/>
      <c r="Q74" s="34"/>
      <c r="R74" s="23"/>
      <c r="S74" s="34"/>
      <c r="T74" s="30" t="e">
        <f t="shared" si="3"/>
        <v>#DIV/0!</v>
      </c>
      <c r="U74" s="30" t="e">
        <f t="shared" si="4"/>
        <v>#DIV/0!</v>
      </c>
      <c r="V74" s="9">
        <v>17</v>
      </c>
    </row>
    <row r="75" spans="1:22" ht="12.75">
      <c r="A75" s="9">
        <v>6</v>
      </c>
      <c r="B75" s="9"/>
      <c r="C75" s="9"/>
      <c r="D75" s="10" t="s">
        <v>29</v>
      </c>
      <c r="E75" s="9"/>
      <c r="F75" s="10" t="s">
        <v>31</v>
      </c>
      <c r="G75" s="9" t="s">
        <v>21</v>
      </c>
      <c r="H75" s="34"/>
      <c r="I75" s="23"/>
      <c r="J75" s="34"/>
      <c r="K75" s="34"/>
      <c r="L75" s="23"/>
      <c r="M75" s="34"/>
      <c r="N75" s="34"/>
      <c r="O75" s="23"/>
      <c r="P75" s="34"/>
      <c r="Q75" s="34"/>
      <c r="R75" s="23"/>
      <c r="S75" s="34"/>
      <c r="T75" s="30" t="e">
        <f t="shared" si="3"/>
        <v>#DIV/0!</v>
      </c>
      <c r="U75" s="30" t="e">
        <f t="shared" si="4"/>
        <v>#DIV/0!</v>
      </c>
      <c r="V75" s="9">
        <v>17</v>
      </c>
    </row>
    <row r="76" spans="1:22" ht="12.75">
      <c r="A76" s="9">
        <v>7</v>
      </c>
      <c r="B76" s="9"/>
      <c r="C76" s="9"/>
      <c r="D76" s="10" t="s">
        <v>29</v>
      </c>
      <c r="E76" s="9"/>
      <c r="F76" s="10" t="s">
        <v>32</v>
      </c>
      <c r="G76" s="9" t="s">
        <v>21</v>
      </c>
      <c r="H76" s="34"/>
      <c r="I76" s="23"/>
      <c r="J76" s="34"/>
      <c r="K76" s="34"/>
      <c r="L76" s="23"/>
      <c r="M76" s="34"/>
      <c r="N76" s="34"/>
      <c r="O76" s="23"/>
      <c r="P76" s="34"/>
      <c r="Q76" s="34"/>
      <c r="R76" s="23"/>
      <c r="S76" s="34"/>
      <c r="T76" s="30" t="e">
        <f t="shared" si="3"/>
        <v>#DIV/0!</v>
      </c>
      <c r="U76" s="30" t="e">
        <f t="shared" si="4"/>
        <v>#DIV/0!</v>
      </c>
      <c r="V76" s="9">
        <v>17</v>
      </c>
    </row>
    <row r="77" spans="1:22" ht="12.75">
      <c r="A77" s="9">
        <v>8</v>
      </c>
      <c r="B77" s="9"/>
      <c r="C77" s="9"/>
      <c r="D77" s="10" t="s">
        <v>29</v>
      </c>
      <c r="E77" s="9"/>
      <c r="F77" s="10" t="s">
        <v>33</v>
      </c>
      <c r="G77" s="9" t="s">
        <v>21</v>
      </c>
      <c r="H77" s="34"/>
      <c r="I77" s="23"/>
      <c r="J77" s="34"/>
      <c r="K77" s="34"/>
      <c r="L77" s="23"/>
      <c r="M77" s="34"/>
      <c r="N77" s="34"/>
      <c r="O77" s="23"/>
      <c r="P77" s="34"/>
      <c r="Q77" s="34"/>
      <c r="R77" s="23"/>
      <c r="S77" s="34"/>
      <c r="T77" s="30" t="e">
        <f t="shared" si="3"/>
        <v>#DIV/0!</v>
      </c>
      <c r="U77" s="30" t="e">
        <f t="shared" si="4"/>
        <v>#DIV/0!</v>
      </c>
      <c r="V77" s="9">
        <v>17</v>
      </c>
    </row>
    <row r="78" spans="1:22" ht="25.5">
      <c r="A78" s="7">
        <v>9</v>
      </c>
      <c r="B78" s="9"/>
      <c r="C78" s="6" t="s">
        <v>34</v>
      </c>
      <c r="D78" s="11" t="s">
        <v>35</v>
      </c>
      <c r="E78" s="9">
        <v>182</v>
      </c>
      <c r="F78" s="21" t="s">
        <v>36</v>
      </c>
      <c r="G78" s="7" t="s">
        <v>21</v>
      </c>
      <c r="H78" s="29"/>
      <c r="I78" s="24"/>
      <c r="J78" s="24"/>
      <c r="K78" s="29"/>
      <c r="L78" s="24"/>
      <c r="M78" s="24"/>
      <c r="N78" s="29"/>
      <c r="O78" s="24"/>
      <c r="P78" s="24"/>
      <c r="Q78" s="29"/>
      <c r="R78" s="24"/>
      <c r="S78" s="24"/>
      <c r="T78" s="22" t="e">
        <f t="shared" si="3"/>
        <v>#DIV/0!</v>
      </c>
      <c r="U78" s="22" t="e">
        <f t="shared" si="4"/>
        <v>#DIV/0!</v>
      </c>
      <c r="V78" s="9">
        <v>17</v>
      </c>
    </row>
    <row r="79" spans="1:22" ht="12.75">
      <c r="A79" s="9">
        <v>10</v>
      </c>
      <c r="B79" s="9"/>
      <c r="C79" s="9"/>
      <c r="D79" s="10" t="s">
        <v>37</v>
      </c>
      <c r="E79" s="9"/>
      <c r="F79" s="13" t="s">
        <v>38</v>
      </c>
      <c r="G79" s="9" t="s">
        <v>21</v>
      </c>
      <c r="H79" s="34"/>
      <c r="I79" s="23"/>
      <c r="J79" s="34"/>
      <c r="K79" s="34"/>
      <c r="L79" s="23"/>
      <c r="M79" s="34"/>
      <c r="N79" s="34"/>
      <c r="O79" s="23"/>
      <c r="P79" s="34"/>
      <c r="Q79" s="34"/>
      <c r="R79" s="30"/>
      <c r="S79" s="34"/>
      <c r="T79" s="30" t="e">
        <f t="shared" si="3"/>
        <v>#DIV/0!</v>
      </c>
      <c r="U79" s="30" t="e">
        <f t="shared" si="4"/>
        <v>#DIV/0!</v>
      </c>
      <c r="V79" s="9">
        <v>17</v>
      </c>
    </row>
    <row r="80" spans="1:22" ht="12.75">
      <c r="A80" s="9">
        <v>11</v>
      </c>
      <c r="B80" s="9"/>
      <c r="C80" s="9"/>
      <c r="D80" s="10" t="s">
        <v>39</v>
      </c>
      <c r="E80" s="9"/>
      <c r="F80" s="13" t="s">
        <v>40</v>
      </c>
      <c r="G80" s="9" t="s">
        <v>21</v>
      </c>
      <c r="H80" s="34"/>
      <c r="I80" s="23"/>
      <c r="J80" s="34"/>
      <c r="K80" s="34"/>
      <c r="L80" s="23"/>
      <c r="M80" s="34"/>
      <c r="N80" s="34"/>
      <c r="O80" s="23"/>
      <c r="P80" s="34"/>
      <c r="Q80" s="34"/>
      <c r="R80" s="30"/>
      <c r="S80" s="34"/>
      <c r="T80" s="30" t="e">
        <f t="shared" si="3"/>
        <v>#DIV/0!</v>
      </c>
      <c r="U80" s="30" t="e">
        <f t="shared" si="4"/>
        <v>#DIV/0!</v>
      </c>
      <c r="V80" s="9">
        <v>17</v>
      </c>
    </row>
    <row r="81" spans="1:22" ht="12.75">
      <c r="A81" s="9">
        <v>12</v>
      </c>
      <c r="B81" s="9"/>
      <c r="C81" s="9"/>
      <c r="D81" s="10" t="s">
        <v>41</v>
      </c>
      <c r="E81" s="9"/>
      <c r="F81" s="13" t="s">
        <v>42</v>
      </c>
      <c r="G81" s="9" t="s">
        <v>21</v>
      </c>
      <c r="H81" s="34"/>
      <c r="I81" s="23"/>
      <c r="J81" s="34"/>
      <c r="K81" s="34"/>
      <c r="L81" s="23"/>
      <c r="M81" s="34"/>
      <c r="N81" s="34"/>
      <c r="O81" s="23"/>
      <c r="P81" s="34"/>
      <c r="Q81" s="34"/>
      <c r="R81" s="30"/>
      <c r="S81" s="34"/>
      <c r="T81" s="30" t="e">
        <f t="shared" si="3"/>
        <v>#DIV/0!</v>
      </c>
      <c r="U81" s="30" t="e">
        <f t="shared" si="4"/>
        <v>#DIV/0!</v>
      </c>
      <c r="V81" s="9">
        <v>17</v>
      </c>
    </row>
    <row r="82" spans="1:22" ht="12.75">
      <c r="A82" s="9">
        <v>13</v>
      </c>
      <c r="B82" s="9"/>
      <c r="C82" s="6" t="s">
        <v>43</v>
      </c>
      <c r="D82" s="9"/>
      <c r="E82" s="9">
        <v>183</v>
      </c>
      <c r="F82" s="13" t="s">
        <v>44</v>
      </c>
      <c r="G82" s="9" t="s">
        <v>21</v>
      </c>
      <c r="H82" s="34"/>
      <c r="I82" s="23"/>
      <c r="J82" s="34"/>
      <c r="K82" s="34"/>
      <c r="L82" s="23"/>
      <c r="M82" s="34"/>
      <c r="N82" s="34"/>
      <c r="O82" s="23"/>
      <c r="P82" s="34"/>
      <c r="Q82" s="34"/>
      <c r="R82" s="23"/>
      <c r="S82" s="34"/>
      <c r="T82" s="30" t="e">
        <f t="shared" si="3"/>
        <v>#DIV/0!</v>
      </c>
      <c r="U82" s="30" t="e">
        <f t="shared" si="4"/>
        <v>#DIV/0!</v>
      </c>
      <c r="V82" s="9">
        <v>17</v>
      </c>
    </row>
    <row r="83" spans="1:22" ht="36.75">
      <c r="A83" s="7">
        <v>14</v>
      </c>
      <c r="B83" s="9"/>
      <c r="C83" s="6" t="s">
        <v>45</v>
      </c>
      <c r="D83" s="11" t="s">
        <v>46</v>
      </c>
      <c r="E83" s="25"/>
      <c r="F83" s="21" t="s">
        <v>47</v>
      </c>
      <c r="G83" s="7" t="s">
        <v>21</v>
      </c>
      <c r="H83" s="29"/>
      <c r="I83" s="24"/>
      <c r="J83" s="24"/>
      <c r="K83" s="29"/>
      <c r="L83" s="24"/>
      <c r="M83" s="24"/>
      <c r="N83" s="29"/>
      <c r="O83" s="24"/>
      <c r="P83" s="29"/>
      <c r="Q83" s="29"/>
      <c r="R83" s="22"/>
      <c r="S83" s="29"/>
      <c r="T83" s="22" t="e">
        <f t="shared" si="3"/>
        <v>#DIV/0!</v>
      </c>
      <c r="U83" s="22" t="e">
        <f t="shared" si="4"/>
        <v>#DIV/0!</v>
      </c>
      <c r="V83" s="9">
        <v>17</v>
      </c>
    </row>
    <row r="84" spans="1:22" ht="12.75">
      <c r="A84" s="9">
        <v>15</v>
      </c>
      <c r="B84" s="9"/>
      <c r="C84" s="9"/>
      <c r="D84" s="10" t="s">
        <v>48</v>
      </c>
      <c r="E84" s="25"/>
      <c r="F84" s="10" t="s">
        <v>49</v>
      </c>
      <c r="G84" s="9" t="s">
        <v>21</v>
      </c>
      <c r="H84" s="34"/>
      <c r="I84" s="23"/>
      <c r="J84" s="34"/>
      <c r="K84" s="34"/>
      <c r="L84" s="23"/>
      <c r="M84" s="34"/>
      <c r="N84" s="34"/>
      <c r="O84" s="23"/>
      <c r="P84" s="34"/>
      <c r="Q84" s="34"/>
      <c r="R84" s="23"/>
      <c r="S84" s="34"/>
      <c r="T84" s="30" t="e">
        <f t="shared" si="3"/>
        <v>#DIV/0!</v>
      </c>
      <c r="U84" s="30" t="e">
        <f t="shared" si="4"/>
        <v>#DIV/0!</v>
      </c>
      <c r="V84" s="9">
        <v>17</v>
      </c>
    </row>
    <row r="85" spans="1:22" ht="12.75">
      <c r="A85" s="9">
        <v>16</v>
      </c>
      <c r="B85" s="9"/>
      <c r="C85" s="9"/>
      <c r="D85" s="10" t="s">
        <v>50</v>
      </c>
      <c r="E85" s="25">
        <v>192</v>
      </c>
      <c r="F85" s="10" t="s">
        <v>51</v>
      </c>
      <c r="G85" s="9" t="s">
        <v>21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0" t="e">
        <f t="shared" si="3"/>
        <v>#DIV/0!</v>
      </c>
      <c r="U85" s="30" t="e">
        <f t="shared" si="4"/>
        <v>#DIV/0!</v>
      </c>
      <c r="V85" s="9">
        <v>17</v>
      </c>
    </row>
    <row r="86" spans="1:22" ht="12.75">
      <c r="A86" s="9">
        <v>17</v>
      </c>
      <c r="B86" s="9"/>
      <c r="C86" s="9"/>
      <c r="D86" s="10" t="s">
        <v>52</v>
      </c>
      <c r="E86" s="25">
        <v>191</v>
      </c>
      <c r="F86" s="10" t="s">
        <v>53</v>
      </c>
      <c r="G86" s="9" t="s">
        <v>21</v>
      </c>
      <c r="H86" s="34"/>
      <c r="I86" s="23"/>
      <c r="J86" s="34"/>
      <c r="K86" s="34"/>
      <c r="L86" s="23"/>
      <c r="M86" s="34"/>
      <c r="N86" s="34"/>
      <c r="O86" s="23"/>
      <c r="P86" s="34"/>
      <c r="Q86" s="34"/>
      <c r="R86" s="23"/>
      <c r="S86" s="34"/>
      <c r="T86" s="30" t="e">
        <f t="shared" si="3"/>
        <v>#DIV/0!</v>
      </c>
      <c r="U86" s="30" t="e">
        <f t="shared" si="4"/>
        <v>#DIV/0!</v>
      </c>
      <c r="V86" s="9">
        <v>17</v>
      </c>
    </row>
    <row r="87" spans="1:22" ht="12.75">
      <c r="A87" s="9">
        <v>18</v>
      </c>
      <c r="B87" s="9"/>
      <c r="C87" s="10" t="s">
        <v>54</v>
      </c>
      <c r="D87" s="13"/>
      <c r="E87" s="9">
        <v>121</v>
      </c>
      <c r="F87" s="13"/>
      <c r="G87" s="9" t="s">
        <v>21</v>
      </c>
      <c r="H87" s="34"/>
      <c r="I87" s="34"/>
      <c r="J87" s="34"/>
      <c r="K87" s="34"/>
      <c r="L87" s="34"/>
      <c r="M87" s="34"/>
      <c r="N87" s="34"/>
      <c r="O87" s="30"/>
      <c r="P87" s="34"/>
      <c r="Q87" s="34"/>
      <c r="R87" s="30"/>
      <c r="S87" s="34"/>
      <c r="T87" s="30" t="e">
        <f t="shared" si="3"/>
        <v>#DIV/0!</v>
      </c>
      <c r="U87" s="30" t="e">
        <f t="shared" si="4"/>
        <v>#DIV/0!</v>
      </c>
      <c r="V87" s="9">
        <v>17</v>
      </c>
    </row>
    <row r="88" spans="1:22" ht="12.75">
      <c r="A88" s="9">
        <v>19</v>
      </c>
      <c r="B88" s="9"/>
      <c r="C88" s="10" t="s">
        <v>55</v>
      </c>
      <c r="D88" s="13"/>
      <c r="E88" s="9">
        <v>125</v>
      </c>
      <c r="F88" s="10" t="s">
        <v>56</v>
      </c>
      <c r="G88" s="9" t="s">
        <v>21</v>
      </c>
      <c r="H88" s="34"/>
      <c r="I88" s="23"/>
      <c r="J88" s="34"/>
      <c r="K88" s="34"/>
      <c r="L88" s="23"/>
      <c r="M88" s="34"/>
      <c r="N88" s="34"/>
      <c r="O88" s="23"/>
      <c r="P88" s="34"/>
      <c r="Q88" s="34"/>
      <c r="R88" s="23"/>
      <c r="S88" s="34"/>
      <c r="T88" s="30" t="e">
        <f t="shared" si="3"/>
        <v>#DIV/0!</v>
      </c>
      <c r="U88" s="30" t="e">
        <f t="shared" si="4"/>
        <v>#DIV/0!</v>
      </c>
      <c r="V88" s="9">
        <v>17</v>
      </c>
    </row>
    <row r="89" spans="1:22" ht="25.5">
      <c r="A89" s="7">
        <v>20</v>
      </c>
      <c r="B89" s="6" t="s">
        <v>57</v>
      </c>
      <c r="C89" s="11" t="s">
        <v>58</v>
      </c>
      <c r="D89" s="14"/>
      <c r="E89" s="7"/>
      <c r="F89" s="21" t="s">
        <v>59</v>
      </c>
      <c r="G89" s="7" t="s">
        <v>21</v>
      </c>
      <c r="H89" s="83">
        <f>H91*0.75+H93*0.25</f>
        <v>300.5</v>
      </c>
      <c r="I89" s="29">
        <f>I91*0.75+I93*0.25</f>
        <v>318.309075</v>
      </c>
      <c r="J89" s="29"/>
      <c r="K89" s="83">
        <f>K91*0.75+K93*0.25</f>
        <v>293.5</v>
      </c>
      <c r="L89" s="29">
        <f>L91*0.75+L93*0.25</f>
        <v>311.133025</v>
      </c>
      <c r="M89" s="29"/>
      <c r="N89" s="83">
        <f>N91*0.75+N93*0.25</f>
        <v>289.25</v>
      </c>
      <c r="O89" s="29">
        <f>O91*0.75+O93*0.25</f>
        <v>306.77613749999995</v>
      </c>
      <c r="P89" s="29"/>
      <c r="Q89" s="83">
        <f>Q91*0.75+Q93*0.25</f>
        <v>287.25</v>
      </c>
      <c r="R89" s="29">
        <f>R91*0.75+R93*0.25</f>
        <v>304.7258375</v>
      </c>
      <c r="S89" s="29"/>
      <c r="T89" s="83">
        <f>(H57+K57+N57+Q57+T57+H89+K89+N89+Q89)/9</f>
        <v>228.19444444444446</v>
      </c>
      <c r="U89" s="83">
        <f>U91*0.75+U93*0.25</f>
        <v>311.02318749999995</v>
      </c>
      <c r="V89" s="9">
        <v>17</v>
      </c>
    </row>
    <row r="90" spans="1:22" ht="13.5">
      <c r="A90" s="9">
        <v>21</v>
      </c>
      <c r="B90" s="9"/>
      <c r="C90" s="13" t="s">
        <v>60</v>
      </c>
      <c r="D90" s="13"/>
      <c r="E90" s="9">
        <v>832</v>
      </c>
      <c r="F90" s="10" t="s">
        <v>61</v>
      </c>
      <c r="G90" s="9" t="s">
        <v>21</v>
      </c>
      <c r="H90" s="23">
        <f>I90/1.015/1.01-10</f>
        <v>301.5093400965713</v>
      </c>
      <c r="I90" s="23">
        <v>319.3438</v>
      </c>
      <c r="J90" s="300"/>
      <c r="K90" s="23">
        <f>L90/1.015/1.01-10</f>
        <v>301.5093400965713</v>
      </c>
      <c r="L90" s="23">
        <v>319.3438</v>
      </c>
      <c r="M90" s="300"/>
      <c r="N90" s="23">
        <f>O90/1.015/1.01-10</f>
        <v>286.5093400965712</v>
      </c>
      <c r="O90" s="23">
        <v>303.9665499999999</v>
      </c>
      <c r="P90" s="300"/>
      <c r="Q90" s="23">
        <f>R90/1.015/1.01-10</f>
        <v>284.50934009657124</v>
      </c>
      <c r="R90" s="23">
        <v>301.91625</v>
      </c>
      <c r="S90" s="150"/>
      <c r="T90" s="30">
        <f>(H58+K58+N58+Q58+T58+H90+K90+N90+Q90)/9</f>
        <v>229.2850422973332</v>
      </c>
      <c r="U90" s="30">
        <f>AVERAGE(I58,L58,O58,R58,U58,I90,L90,O90,R90)</f>
        <v>312.46065</v>
      </c>
      <c r="V90" s="9">
        <v>17</v>
      </c>
    </row>
    <row r="91" spans="1:22" ht="13.5">
      <c r="A91" s="9">
        <v>22</v>
      </c>
      <c r="B91" s="9"/>
      <c r="C91" s="13" t="s">
        <v>60</v>
      </c>
      <c r="D91" s="13"/>
      <c r="E91" s="9"/>
      <c r="F91" s="10" t="s">
        <v>62</v>
      </c>
      <c r="G91" s="9" t="s">
        <v>21</v>
      </c>
      <c r="H91" s="23">
        <f>I91/1.015/1.01-10</f>
        <v>282</v>
      </c>
      <c r="I91" s="23">
        <v>299.3438</v>
      </c>
      <c r="J91" s="300"/>
      <c r="K91" s="23">
        <f>L91/1.015/1.01-10</f>
        <v>282</v>
      </c>
      <c r="L91" s="23">
        <v>299.3438</v>
      </c>
      <c r="M91" s="300"/>
      <c r="N91" s="23">
        <f>O91/1.015/1.01-10</f>
        <v>267</v>
      </c>
      <c r="O91" s="23">
        <v>283.9665499999999</v>
      </c>
      <c r="P91" s="300"/>
      <c r="Q91" s="23">
        <f>R91/1.015/1.01-10</f>
        <v>265</v>
      </c>
      <c r="R91" s="23">
        <v>281.91625</v>
      </c>
      <c r="S91" s="150"/>
      <c r="T91" s="30">
        <f>(H59+K59+N59+Q59+T59+H91+K91+N91+Q91)/9</f>
        <v>214.11111111111111</v>
      </c>
      <c r="U91" s="30">
        <f>AVERAGE(I59,L59,O59,R59,U59,I91,L91,O91,R91)</f>
        <v>292.46065</v>
      </c>
      <c r="V91" s="9">
        <v>17</v>
      </c>
    </row>
    <row r="92" spans="1:22" ht="13.5">
      <c r="A92" s="9">
        <v>23</v>
      </c>
      <c r="B92" s="9"/>
      <c r="C92" s="13" t="s">
        <v>63</v>
      </c>
      <c r="D92" s="13"/>
      <c r="E92" s="9">
        <v>833</v>
      </c>
      <c r="F92" s="10" t="s">
        <v>61</v>
      </c>
      <c r="G92" s="9" t="s">
        <v>21</v>
      </c>
      <c r="H92" s="23">
        <f>I92/1.015/1.01-10</f>
        <v>375.5093400965713</v>
      </c>
      <c r="I92" s="23">
        <v>395.2049</v>
      </c>
      <c r="J92" s="300"/>
      <c r="K92" s="23">
        <f>L92/1.015/1.01-10</f>
        <v>347.5093400965712</v>
      </c>
      <c r="L92" s="23">
        <v>366.50069999999994</v>
      </c>
      <c r="M92" s="300"/>
      <c r="N92" s="23">
        <f>O92/1.015/1.01-10</f>
        <v>375.5093400965713</v>
      </c>
      <c r="O92" s="23">
        <v>395.2049</v>
      </c>
      <c r="P92" s="300"/>
      <c r="Q92" s="23">
        <f>R92/1.015/1.01-10</f>
        <v>373.50934009657124</v>
      </c>
      <c r="R92" s="23">
        <v>393.15459999999996</v>
      </c>
      <c r="S92" s="150"/>
      <c r="T92" s="30">
        <f>(H60+K60+N60+Q60+T60+H92+K92+N92+Q92)/9</f>
        <v>285.61837563066655</v>
      </c>
      <c r="U92" s="30">
        <f>AVERAGE(I60,L60,O60,R60,U60,I92,L92,O92,R92)</f>
        <v>386.71079999999995</v>
      </c>
      <c r="V92" s="9">
        <v>17</v>
      </c>
    </row>
    <row r="93" spans="1:22" ht="13.5">
      <c r="A93" s="9">
        <v>24</v>
      </c>
      <c r="B93" s="9"/>
      <c r="C93" s="13" t="s">
        <v>63</v>
      </c>
      <c r="D93" s="13"/>
      <c r="E93" s="9"/>
      <c r="F93" s="10" t="s">
        <v>62</v>
      </c>
      <c r="G93" s="9" t="s">
        <v>21</v>
      </c>
      <c r="H93" s="23">
        <f>I93/1.015/1.01-10</f>
        <v>356</v>
      </c>
      <c r="I93" s="23">
        <v>375.2049</v>
      </c>
      <c r="J93" s="300"/>
      <c r="K93" s="23">
        <f>L93/1.015/1.01-10</f>
        <v>328</v>
      </c>
      <c r="L93" s="23">
        <v>346.50069999999994</v>
      </c>
      <c r="M93" s="300"/>
      <c r="N93" s="23">
        <f>O93/1.015/1.01-10</f>
        <v>356</v>
      </c>
      <c r="O93" s="23">
        <v>375.2049</v>
      </c>
      <c r="P93" s="300"/>
      <c r="Q93" s="23">
        <f>R93/1.015/1.01-10</f>
        <v>354</v>
      </c>
      <c r="R93" s="23">
        <v>373.15459999999996</v>
      </c>
      <c r="S93" s="150"/>
      <c r="T93" s="30">
        <f>(H61+K61+N61+Q61+T61+H93+K93+N93+Q93)/9</f>
        <v>270.44444444444446</v>
      </c>
      <c r="U93" s="30">
        <f>AVERAGE(I61,L61,O61,R61,U61,I93,L93,O93,R93)</f>
        <v>366.71079999999995</v>
      </c>
      <c r="V93" s="9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SheetLayoutView="100" workbookViewId="0" topLeftCell="A1">
      <selection activeCell="AF6" sqref="AF6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1.7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173" customFormat="1" ht="13.5" customHeight="1">
      <c r="A3" s="6" t="s">
        <v>2</v>
      </c>
      <c r="B3" s="6" t="s">
        <v>3</v>
      </c>
      <c r="C3" s="6" t="s">
        <v>4</v>
      </c>
      <c r="D3" s="9"/>
      <c r="E3" s="6" t="s">
        <v>5</v>
      </c>
      <c r="F3" s="6" t="s">
        <v>6</v>
      </c>
      <c r="G3" s="20" t="s">
        <v>119</v>
      </c>
      <c r="H3" s="6" t="s">
        <v>7</v>
      </c>
      <c r="I3" s="54" t="s">
        <v>120</v>
      </c>
      <c r="J3" s="316"/>
      <c r="K3" s="316"/>
      <c r="L3" s="316"/>
      <c r="M3" s="317"/>
      <c r="N3" s="54" t="s">
        <v>121</v>
      </c>
      <c r="O3" s="316"/>
      <c r="P3" s="316"/>
      <c r="Q3" s="316"/>
      <c r="R3" s="317"/>
      <c r="S3" s="20" t="s">
        <v>122</v>
      </c>
      <c r="T3" s="9"/>
      <c r="U3" s="9"/>
      <c r="V3" s="9"/>
      <c r="W3" s="9"/>
    </row>
    <row r="4" spans="1:23" s="173" customFormat="1" ht="13.5" customHeight="1">
      <c r="A4" s="6"/>
      <c r="B4" s="6"/>
      <c r="C4" s="6"/>
      <c r="D4" s="9"/>
      <c r="E4" s="6"/>
      <c r="F4" s="6"/>
      <c r="G4" s="20"/>
      <c r="H4" s="6"/>
      <c r="I4" s="54" t="s">
        <v>123</v>
      </c>
      <c r="J4" s="317"/>
      <c r="K4" s="54" t="s">
        <v>124</v>
      </c>
      <c r="L4" s="317"/>
      <c r="M4" s="129" t="s">
        <v>88</v>
      </c>
      <c r="N4" s="54" t="s">
        <v>123</v>
      </c>
      <c r="O4" s="317"/>
      <c r="P4" s="54" t="s">
        <v>124</v>
      </c>
      <c r="Q4" s="317"/>
      <c r="R4" s="129" t="s">
        <v>88</v>
      </c>
      <c r="S4" s="54" t="s">
        <v>123</v>
      </c>
      <c r="T4" s="317"/>
      <c r="U4" s="54" t="s">
        <v>124</v>
      </c>
      <c r="V4" s="317"/>
      <c r="W4" s="129" t="s">
        <v>88</v>
      </c>
    </row>
    <row r="5" spans="1:25" s="173" customFormat="1" ht="25.5">
      <c r="A5" s="9"/>
      <c r="B5" s="9"/>
      <c r="C5" s="9"/>
      <c r="D5" s="9"/>
      <c r="E5" s="9"/>
      <c r="F5" s="9"/>
      <c r="G5" s="20"/>
      <c r="H5" s="9"/>
      <c r="I5" s="6" t="s">
        <v>14</v>
      </c>
      <c r="J5" s="6" t="s">
        <v>15</v>
      </c>
      <c r="K5" s="6" t="s">
        <v>14</v>
      </c>
      <c r="L5" s="6" t="s">
        <v>15</v>
      </c>
      <c r="M5" s="323"/>
      <c r="N5" s="6" t="s">
        <v>14</v>
      </c>
      <c r="O5" s="6" t="s">
        <v>15</v>
      </c>
      <c r="P5" s="6" t="s">
        <v>14</v>
      </c>
      <c r="Q5" s="6" t="s">
        <v>15</v>
      </c>
      <c r="R5" s="323"/>
      <c r="S5" s="6" t="s">
        <v>14</v>
      </c>
      <c r="T5" s="6" t="s">
        <v>15</v>
      </c>
      <c r="U5" s="6" t="s">
        <v>14</v>
      </c>
      <c r="V5" s="6" t="s">
        <v>15</v>
      </c>
      <c r="W5" s="323"/>
      <c r="X5" s="329" t="s">
        <v>125</v>
      </c>
      <c r="Y5" s="329"/>
    </row>
    <row r="6" spans="1:25" s="104" customFormat="1" ht="27.75" customHeight="1">
      <c r="A6" s="53">
        <v>1</v>
      </c>
      <c r="B6" s="6" t="s">
        <v>16</v>
      </c>
      <c r="C6" s="6" t="s">
        <v>17</v>
      </c>
      <c r="D6" s="8" t="s">
        <v>18</v>
      </c>
      <c r="E6" s="9" t="s">
        <v>126</v>
      </c>
      <c r="F6" s="21" t="s">
        <v>20</v>
      </c>
      <c r="G6" s="9">
        <v>13</v>
      </c>
      <c r="H6" s="52" t="s">
        <v>21</v>
      </c>
      <c r="I6" s="318">
        <f>I7*0.8+I8*0.2</f>
        <v>4146.017699115045</v>
      </c>
      <c r="J6" s="318">
        <f>J7*0.8+J8*0.2</f>
        <v>4217.699309495576</v>
      </c>
      <c r="K6" s="318">
        <f>K7*0.8+K8*0.2</f>
        <v>4685</v>
      </c>
      <c r="L6" s="318">
        <f>L7*0.8+L8*0.2</f>
        <v>4749.818450000001</v>
      </c>
      <c r="M6" s="154"/>
      <c r="N6" s="318">
        <f>P6/(1+0.01*G6)</f>
        <v>4146.017699115045</v>
      </c>
      <c r="O6" s="318">
        <f>Q6/(1+0.01*G6)</f>
        <v>4209.573849557523</v>
      </c>
      <c r="P6" s="318">
        <f>K6</f>
        <v>4685</v>
      </c>
      <c r="Q6" s="318">
        <f>L6+7</f>
        <v>4756.818450000001</v>
      </c>
      <c r="R6" s="322"/>
      <c r="S6" s="318">
        <f>U6/(1+0.01*G6)</f>
        <v>4146.017699115045</v>
      </c>
      <c r="T6" s="318">
        <f>V6/(1+0.01*G6)</f>
        <v>4198.069424778762</v>
      </c>
      <c r="U6" s="318">
        <f>K6</f>
        <v>4685</v>
      </c>
      <c r="V6" s="318">
        <f>L6-6</f>
        <v>4743.818450000001</v>
      </c>
      <c r="W6" s="322"/>
      <c r="X6" s="330">
        <v>5876.5</v>
      </c>
      <c r="Y6" s="335">
        <f>X6-K6</f>
        <v>1191.5</v>
      </c>
    </row>
    <row r="7" spans="1:25" ht="25.5">
      <c r="A7" s="53">
        <v>2</v>
      </c>
      <c r="B7" s="9"/>
      <c r="C7" s="9"/>
      <c r="D7" s="10" t="s">
        <v>22</v>
      </c>
      <c r="E7" s="9"/>
      <c r="F7" s="10" t="s">
        <v>23</v>
      </c>
      <c r="G7" s="9">
        <v>13</v>
      </c>
      <c r="H7" s="9" t="s">
        <v>21</v>
      </c>
      <c r="I7" s="23">
        <f>K7/1.13</f>
        <v>4163.716814159293</v>
      </c>
      <c r="J7" s="23">
        <f>(I7+27.03)*1.0107</f>
        <v>4235.587805070797</v>
      </c>
      <c r="K7" s="319">
        <v>4705</v>
      </c>
      <c r="L7" s="23">
        <f>(K7+29.46)*1.0075</f>
        <v>4769.96845</v>
      </c>
      <c r="M7" s="32" t="s">
        <v>89</v>
      </c>
      <c r="N7" s="322">
        <f aca="true" t="shared" si="0" ref="N7:N24">P7/(1+0.01*G7)</f>
        <v>4163.716814159293</v>
      </c>
      <c r="O7" s="322">
        <f aca="true" t="shared" si="1" ref="O7:O24">Q7/(1+0.01*G7)</f>
        <v>4227.405707964603</v>
      </c>
      <c r="P7" s="322">
        <f aca="true" t="shared" si="2" ref="P7:P24">K7</f>
        <v>4705</v>
      </c>
      <c r="Q7" s="322">
        <f aca="true" t="shared" si="3" ref="Q7:Q24">L7+7</f>
        <v>4776.96845</v>
      </c>
      <c r="R7" s="328"/>
      <c r="S7" s="322">
        <f aca="true" t="shared" si="4" ref="S7:S24">U7/(1+0.01*G7)</f>
        <v>4163.716814159293</v>
      </c>
      <c r="T7" s="322">
        <f aca="true" t="shared" si="5" ref="T7:T24">V7/(1+0.01*G7)</f>
        <v>4215.901283185842</v>
      </c>
      <c r="U7" s="322">
        <f aca="true" t="shared" si="6" ref="U7:U24">K7</f>
        <v>4705</v>
      </c>
      <c r="V7" s="322">
        <f aca="true" t="shared" si="7" ref="V7:V24">L7-6</f>
        <v>4763.96845</v>
      </c>
      <c r="W7" s="328"/>
      <c r="X7" s="331">
        <v>5875</v>
      </c>
      <c r="Y7" s="335">
        <f aca="true" t="shared" si="8" ref="Y7:Y22">X7-K7</f>
        <v>1170</v>
      </c>
    </row>
    <row r="8" spans="1:25" ht="12.75">
      <c r="A8" s="53">
        <v>3</v>
      </c>
      <c r="B8" s="9"/>
      <c r="C8" s="9"/>
      <c r="D8" s="10" t="s">
        <v>24</v>
      </c>
      <c r="E8" s="9"/>
      <c r="F8" s="10" t="s">
        <v>25</v>
      </c>
      <c r="G8" s="9">
        <v>13</v>
      </c>
      <c r="H8" s="9" t="s">
        <v>21</v>
      </c>
      <c r="I8" s="23">
        <f>K8/1.13</f>
        <v>4075.2212389380534</v>
      </c>
      <c r="J8" s="23">
        <f>(I8+27.03)*1.0107</f>
        <v>4146.14532719469</v>
      </c>
      <c r="K8" s="319">
        <v>4605</v>
      </c>
      <c r="L8" s="23">
        <f>(K8+29.46)*1.0075</f>
        <v>4669.21845</v>
      </c>
      <c r="M8" s="32" t="s">
        <v>89</v>
      </c>
      <c r="N8" s="322">
        <f t="shared" si="0"/>
        <v>4075.2212389380534</v>
      </c>
      <c r="O8" s="322">
        <f t="shared" si="1"/>
        <v>4138.246415929204</v>
      </c>
      <c r="P8" s="322">
        <f t="shared" si="2"/>
        <v>4605</v>
      </c>
      <c r="Q8" s="322">
        <f t="shared" si="3"/>
        <v>4676.21845</v>
      </c>
      <c r="R8" s="328"/>
      <c r="S8" s="322">
        <f t="shared" si="4"/>
        <v>4075.2212389380534</v>
      </c>
      <c r="T8" s="322">
        <f t="shared" si="5"/>
        <v>4126.741991150443</v>
      </c>
      <c r="U8" s="322">
        <f t="shared" si="6"/>
        <v>4605</v>
      </c>
      <c r="V8" s="322">
        <f t="shared" si="7"/>
        <v>4663.21845</v>
      </c>
      <c r="W8" s="328"/>
      <c r="X8" s="331">
        <v>5882.5</v>
      </c>
      <c r="Y8" s="335">
        <f t="shared" si="8"/>
        <v>1277.5</v>
      </c>
    </row>
    <row r="9" spans="1:25" s="104" customFormat="1" ht="36" customHeight="1">
      <c r="A9" s="53">
        <v>4</v>
      </c>
      <c r="B9" s="9"/>
      <c r="C9" s="6" t="s">
        <v>26</v>
      </c>
      <c r="D9" s="11" t="s">
        <v>27</v>
      </c>
      <c r="E9" s="9">
        <v>2001002</v>
      </c>
      <c r="F9" s="21" t="s">
        <v>28</v>
      </c>
      <c r="G9" s="9">
        <v>13</v>
      </c>
      <c r="H9" s="7" t="s">
        <v>21</v>
      </c>
      <c r="I9" s="82">
        <f>I10*0.03+I11*0.38+I12*0.27+I13*0.32</f>
        <v>3819.026548672567</v>
      </c>
      <c r="J9" s="82">
        <f>J10*0.03+J11*0.38+J12*0.27+J13*0.32</f>
        <v>3887.209353743363</v>
      </c>
      <c r="K9" s="82">
        <f>K10*0.03+K11*0.38+K12*0.27+K13*0.32</f>
        <v>4315.5</v>
      </c>
      <c r="L9" s="82">
        <f>L10*0.03+L11*0.38+L12*0.27+L13*0.32</f>
        <v>4377.547200000001</v>
      </c>
      <c r="M9" s="33"/>
      <c r="N9" s="318">
        <f t="shared" si="0"/>
        <v>3819.0265486725666</v>
      </c>
      <c r="O9" s="318">
        <f t="shared" si="1"/>
        <v>3880.130265486727</v>
      </c>
      <c r="P9" s="318">
        <f t="shared" si="2"/>
        <v>4315.5</v>
      </c>
      <c r="Q9" s="318">
        <f t="shared" si="3"/>
        <v>4384.547200000001</v>
      </c>
      <c r="R9" s="113"/>
      <c r="S9" s="318">
        <f t="shared" si="4"/>
        <v>3819.0265486725666</v>
      </c>
      <c r="T9" s="318">
        <f t="shared" si="5"/>
        <v>3868.625840707966</v>
      </c>
      <c r="U9" s="318">
        <f t="shared" si="6"/>
        <v>4315.5</v>
      </c>
      <c r="V9" s="318">
        <f t="shared" si="7"/>
        <v>4371.547200000001</v>
      </c>
      <c r="W9" s="113"/>
      <c r="X9" s="332">
        <v>5523</v>
      </c>
      <c r="Y9" s="335">
        <f t="shared" si="8"/>
        <v>1207.5</v>
      </c>
    </row>
    <row r="10" spans="1:25" ht="13.5" customHeight="1">
      <c r="A10" s="53">
        <v>5</v>
      </c>
      <c r="B10" s="9"/>
      <c r="C10" s="9"/>
      <c r="D10" s="10" t="s">
        <v>29</v>
      </c>
      <c r="E10" s="9"/>
      <c r="F10" s="10" t="s">
        <v>30</v>
      </c>
      <c r="G10" s="9">
        <v>13</v>
      </c>
      <c r="H10" s="9" t="s">
        <v>21</v>
      </c>
      <c r="I10" s="23">
        <f>K10/1.13</f>
        <v>3922.5663716814165</v>
      </c>
      <c r="J10" s="23">
        <f>(I10+27.03)*1.0107</f>
        <v>3991.8570528584078</v>
      </c>
      <c r="K10" s="319">
        <v>4432.5</v>
      </c>
      <c r="L10" s="23">
        <f>(K10+29.46)*1.0075</f>
        <v>4495.4247000000005</v>
      </c>
      <c r="M10" s="32" t="s">
        <v>90</v>
      </c>
      <c r="N10" s="322">
        <f t="shared" si="0"/>
        <v>3922.5663716814165</v>
      </c>
      <c r="O10" s="322">
        <f t="shared" si="1"/>
        <v>3984.4466371681424</v>
      </c>
      <c r="P10" s="322">
        <f t="shared" si="2"/>
        <v>4432.5</v>
      </c>
      <c r="Q10" s="322">
        <f t="shared" si="3"/>
        <v>4502.4247000000005</v>
      </c>
      <c r="R10" s="328"/>
      <c r="S10" s="322">
        <f t="shared" si="4"/>
        <v>3922.5663716814165</v>
      </c>
      <c r="T10" s="322">
        <f t="shared" si="5"/>
        <v>3972.9422123893814</v>
      </c>
      <c r="U10" s="322">
        <f t="shared" si="6"/>
        <v>4432.5</v>
      </c>
      <c r="V10" s="322">
        <f t="shared" si="7"/>
        <v>4489.4247000000005</v>
      </c>
      <c r="W10" s="328"/>
      <c r="X10" s="331">
        <v>5640</v>
      </c>
      <c r="Y10" s="335">
        <f t="shared" si="8"/>
        <v>1207.5</v>
      </c>
    </row>
    <row r="11" spans="1:25" ht="13.5" customHeight="1">
      <c r="A11" s="53">
        <v>6</v>
      </c>
      <c r="B11" s="9"/>
      <c r="C11" s="9"/>
      <c r="D11" s="10" t="s">
        <v>29</v>
      </c>
      <c r="E11" s="9"/>
      <c r="F11" s="10" t="s">
        <v>31</v>
      </c>
      <c r="G11" s="9">
        <v>13</v>
      </c>
      <c r="H11" s="9" t="s">
        <v>21</v>
      </c>
      <c r="I11" s="23">
        <f>K11/1.13</f>
        <v>3825.2212389380534</v>
      </c>
      <c r="J11" s="23">
        <f>(I11+27.03)*1.0107</f>
        <v>3893.4703271946905</v>
      </c>
      <c r="K11" s="319">
        <v>4322.5</v>
      </c>
      <c r="L11" s="23">
        <f>(K11+29.46)*1.0075</f>
        <v>4384.599700000001</v>
      </c>
      <c r="M11" s="32" t="s">
        <v>90</v>
      </c>
      <c r="N11" s="322">
        <f t="shared" si="0"/>
        <v>3825.2212389380534</v>
      </c>
      <c r="O11" s="322">
        <f t="shared" si="1"/>
        <v>3886.3714159292044</v>
      </c>
      <c r="P11" s="322">
        <f t="shared" si="2"/>
        <v>4322.5</v>
      </c>
      <c r="Q11" s="322">
        <f t="shared" si="3"/>
        <v>4391.599700000001</v>
      </c>
      <c r="R11" s="328"/>
      <c r="S11" s="322">
        <f t="shared" si="4"/>
        <v>3825.2212389380534</v>
      </c>
      <c r="T11" s="322">
        <f t="shared" si="5"/>
        <v>3874.8669911504435</v>
      </c>
      <c r="U11" s="322">
        <f t="shared" si="6"/>
        <v>4322.5</v>
      </c>
      <c r="V11" s="322">
        <f t="shared" si="7"/>
        <v>4378.599700000001</v>
      </c>
      <c r="W11" s="328"/>
      <c r="X11" s="331">
        <v>5530</v>
      </c>
      <c r="Y11" s="335">
        <f t="shared" si="8"/>
        <v>1207.5</v>
      </c>
    </row>
    <row r="12" spans="1:25" ht="13.5" customHeight="1">
      <c r="A12" s="53">
        <v>7</v>
      </c>
      <c r="B12" s="9"/>
      <c r="C12" s="9"/>
      <c r="D12" s="10" t="s">
        <v>29</v>
      </c>
      <c r="E12" s="9"/>
      <c r="F12" s="10" t="s">
        <v>32</v>
      </c>
      <c r="G12" s="9">
        <v>13</v>
      </c>
      <c r="H12" s="9" t="s">
        <v>21</v>
      </c>
      <c r="I12" s="23">
        <f>K12/1.13</f>
        <v>3780.973451327434</v>
      </c>
      <c r="J12" s="23">
        <f>(I12+27.03)*1.0107</f>
        <v>3848.749088256637</v>
      </c>
      <c r="K12" s="319">
        <v>4272.5</v>
      </c>
      <c r="L12" s="23">
        <f>(K12+29.46)*1.0075</f>
        <v>4334.224700000001</v>
      </c>
      <c r="M12" s="32" t="s">
        <v>90</v>
      </c>
      <c r="N12" s="322">
        <f t="shared" si="0"/>
        <v>3780.973451327434</v>
      </c>
      <c r="O12" s="322">
        <f t="shared" si="1"/>
        <v>3841.7917699115055</v>
      </c>
      <c r="P12" s="322">
        <f t="shared" si="2"/>
        <v>4272.5</v>
      </c>
      <c r="Q12" s="322">
        <f t="shared" si="3"/>
        <v>4341.224700000001</v>
      </c>
      <c r="R12" s="328"/>
      <c r="S12" s="322">
        <f t="shared" si="4"/>
        <v>3780.973451327434</v>
      </c>
      <c r="T12" s="322">
        <f t="shared" si="5"/>
        <v>3830.287345132744</v>
      </c>
      <c r="U12" s="322">
        <f t="shared" si="6"/>
        <v>4272.5</v>
      </c>
      <c r="V12" s="322">
        <f t="shared" si="7"/>
        <v>4328.224700000001</v>
      </c>
      <c r="W12" s="328"/>
      <c r="X12" s="331">
        <v>5480</v>
      </c>
      <c r="Y12" s="335">
        <f t="shared" si="8"/>
        <v>1207.5</v>
      </c>
    </row>
    <row r="13" spans="1:25" ht="13.5" customHeight="1">
      <c r="A13" s="53">
        <v>8</v>
      </c>
      <c r="B13" s="9"/>
      <c r="C13" s="9"/>
      <c r="D13" s="10" t="s">
        <v>29</v>
      </c>
      <c r="E13" s="9"/>
      <c r="F13" s="10" t="s">
        <v>33</v>
      </c>
      <c r="G13" s="9">
        <v>13</v>
      </c>
      <c r="H13" s="9" t="s">
        <v>21</v>
      </c>
      <c r="I13" s="23">
        <f>K13/1.13</f>
        <v>3834.0707964601775</v>
      </c>
      <c r="J13" s="23">
        <f>(I13+27.03)*1.0107</f>
        <v>3902.4145749823015</v>
      </c>
      <c r="K13" s="319">
        <v>4332.5</v>
      </c>
      <c r="L13" s="23">
        <f>(K13+29.46)*1.0075</f>
        <v>4394.6747000000005</v>
      </c>
      <c r="M13" s="32" t="s">
        <v>90</v>
      </c>
      <c r="N13" s="322">
        <f t="shared" si="0"/>
        <v>3834.0707964601775</v>
      </c>
      <c r="O13" s="322">
        <f t="shared" si="1"/>
        <v>3895.287345132744</v>
      </c>
      <c r="P13" s="322">
        <f t="shared" si="2"/>
        <v>4332.5</v>
      </c>
      <c r="Q13" s="322">
        <f t="shared" si="3"/>
        <v>4401.6747000000005</v>
      </c>
      <c r="R13" s="328"/>
      <c r="S13" s="322">
        <f t="shared" si="4"/>
        <v>3834.0707964601775</v>
      </c>
      <c r="T13" s="322">
        <f t="shared" si="5"/>
        <v>3883.782920353983</v>
      </c>
      <c r="U13" s="322">
        <f t="shared" si="6"/>
        <v>4332.5</v>
      </c>
      <c r="V13" s="322">
        <f t="shared" si="7"/>
        <v>4388.6747000000005</v>
      </c>
      <c r="W13" s="328"/>
      <c r="X13" s="331">
        <v>5540</v>
      </c>
      <c r="Y13" s="335">
        <f t="shared" si="8"/>
        <v>1207.5</v>
      </c>
    </row>
    <row r="14" spans="1:25" s="104" customFormat="1" ht="27.75" customHeight="1">
      <c r="A14" s="53">
        <v>9</v>
      </c>
      <c r="B14" s="9"/>
      <c r="C14" s="6" t="s">
        <v>34</v>
      </c>
      <c r="D14" s="11" t="s">
        <v>35</v>
      </c>
      <c r="E14" s="9">
        <v>2003004</v>
      </c>
      <c r="F14" s="21" t="s">
        <v>127</v>
      </c>
      <c r="G14" s="9">
        <v>13</v>
      </c>
      <c r="H14" s="7" t="s">
        <v>21</v>
      </c>
      <c r="I14" s="320">
        <f>I15*0.27+I16*0.67+I17*0.06</f>
        <v>3988.95575221239</v>
      </c>
      <c r="J14" s="157">
        <f>J15*0.27+J16*0.67+J17*0.06</f>
        <v>4058.9567997610625</v>
      </c>
      <c r="K14" s="320">
        <f>K15*0.27+K16*0.67+K17*0.06</f>
        <v>4507.52</v>
      </c>
      <c r="L14" s="157">
        <f>L15*0.27+L16*0.67+L17*0.06</f>
        <v>4571.00735</v>
      </c>
      <c r="M14" s="33"/>
      <c r="N14" s="318">
        <f t="shared" si="0"/>
        <v>3988.95575221239</v>
      </c>
      <c r="O14" s="318">
        <f t="shared" si="1"/>
        <v>4051.3339380530974</v>
      </c>
      <c r="P14" s="318">
        <f t="shared" si="2"/>
        <v>4507.52</v>
      </c>
      <c r="Q14" s="318">
        <f t="shared" si="3"/>
        <v>4578.00735</v>
      </c>
      <c r="R14" s="113"/>
      <c r="S14" s="318">
        <f t="shared" si="4"/>
        <v>3988.95575221239</v>
      </c>
      <c r="T14" s="318">
        <f t="shared" si="5"/>
        <v>4039.8295132743365</v>
      </c>
      <c r="U14" s="318">
        <f t="shared" si="6"/>
        <v>4507.52</v>
      </c>
      <c r="V14" s="318">
        <f t="shared" si="7"/>
        <v>4565.00735</v>
      </c>
      <c r="W14" s="113"/>
      <c r="X14" s="332">
        <v>5705.65</v>
      </c>
      <c r="Y14" s="335">
        <f t="shared" si="8"/>
        <v>1198.1299999999992</v>
      </c>
    </row>
    <row r="15" spans="1:25" ht="13.5" customHeight="1">
      <c r="A15" s="53">
        <v>10</v>
      </c>
      <c r="B15" s="9"/>
      <c r="C15" s="9"/>
      <c r="D15" s="10" t="s">
        <v>128</v>
      </c>
      <c r="E15" s="9"/>
      <c r="F15" s="13" t="s">
        <v>38</v>
      </c>
      <c r="G15" s="9">
        <v>13</v>
      </c>
      <c r="H15" s="9" t="s">
        <v>21</v>
      </c>
      <c r="I15" s="23">
        <f>K15/1.13</f>
        <v>4020.3539823008855</v>
      </c>
      <c r="J15" s="23">
        <f>(I15+27.03)*1.0107</f>
        <v>4090.6909909115047</v>
      </c>
      <c r="K15" s="319">
        <v>4543</v>
      </c>
      <c r="L15" s="23">
        <f>(K15+29.46)*1.0075</f>
        <v>4606.75345</v>
      </c>
      <c r="M15" s="32" t="s">
        <v>91</v>
      </c>
      <c r="N15" s="322">
        <f t="shared" si="0"/>
        <v>4020.3539823008855</v>
      </c>
      <c r="O15" s="322">
        <f t="shared" si="1"/>
        <v>4082.9676548672574</v>
      </c>
      <c r="P15" s="322">
        <f t="shared" si="2"/>
        <v>4543</v>
      </c>
      <c r="Q15" s="322">
        <f t="shared" si="3"/>
        <v>4613.75345</v>
      </c>
      <c r="R15" s="328"/>
      <c r="S15" s="322">
        <f t="shared" si="4"/>
        <v>4020.3539823008855</v>
      </c>
      <c r="T15" s="322">
        <f t="shared" si="5"/>
        <v>4071.463230088496</v>
      </c>
      <c r="U15" s="322">
        <f t="shared" si="6"/>
        <v>4543</v>
      </c>
      <c r="V15" s="322">
        <f t="shared" si="7"/>
        <v>4600.75345</v>
      </c>
      <c r="W15" s="328"/>
      <c r="X15" s="331">
        <v>5737.5</v>
      </c>
      <c r="Y15" s="335">
        <f t="shared" si="8"/>
        <v>1194.5</v>
      </c>
    </row>
    <row r="16" spans="1:25" ht="13.5" customHeight="1">
      <c r="A16" s="53">
        <v>11</v>
      </c>
      <c r="B16" s="9"/>
      <c r="C16" s="9"/>
      <c r="D16" s="10" t="s">
        <v>129</v>
      </c>
      <c r="E16" s="9"/>
      <c r="F16" s="13" t="s">
        <v>40</v>
      </c>
      <c r="G16" s="9">
        <v>13</v>
      </c>
      <c r="H16" s="9" t="s">
        <v>21</v>
      </c>
      <c r="I16" s="23">
        <f>K16/1.13</f>
        <v>3976.106194690266</v>
      </c>
      <c r="J16" s="23">
        <f>(I16+27.03)*1.0107</f>
        <v>4045.969751973452</v>
      </c>
      <c r="K16" s="319">
        <v>4493</v>
      </c>
      <c r="L16" s="23">
        <f>(K16+29.46)*1.0075</f>
        <v>4556.37845</v>
      </c>
      <c r="M16" s="32" t="s">
        <v>91</v>
      </c>
      <c r="N16" s="322">
        <f t="shared" si="0"/>
        <v>3976.106194690266</v>
      </c>
      <c r="O16" s="322">
        <f t="shared" si="1"/>
        <v>4038.388008849558</v>
      </c>
      <c r="P16" s="322">
        <f t="shared" si="2"/>
        <v>4493</v>
      </c>
      <c r="Q16" s="322">
        <f t="shared" si="3"/>
        <v>4563.37845</v>
      </c>
      <c r="R16" s="328"/>
      <c r="S16" s="322">
        <f t="shared" si="4"/>
        <v>3976.106194690266</v>
      </c>
      <c r="T16" s="322">
        <f t="shared" si="5"/>
        <v>4026.883584070797</v>
      </c>
      <c r="U16" s="322">
        <f t="shared" si="6"/>
        <v>4493</v>
      </c>
      <c r="V16" s="322">
        <f t="shared" si="7"/>
        <v>4550.37845</v>
      </c>
      <c r="W16" s="328"/>
      <c r="X16" s="331">
        <v>5687.5</v>
      </c>
      <c r="Y16" s="335">
        <f t="shared" si="8"/>
        <v>1194.5</v>
      </c>
    </row>
    <row r="17" spans="1:25" ht="13.5" customHeight="1">
      <c r="A17" s="53">
        <v>12</v>
      </c>
      <c r="B17" s="9"/>
      <c r="C17" s="9"/>
      <c r="D17" s="10" t="s">
        <v>130</v>
      </c>
      <c r="E17" s="9"/>
      <c r="F17" s="13" t="s">
        <v>42</v>
      </c>
      <c r="G17" s="9">
        <v>13</v>
      </c>
      <c r="H17" s="9" t="s">
        <v>21</v>
      </c>
      <c r="I17" s="23">
        <f>K17/1.13</f>
        <v>3991.1504424778764</v>
      </c>
      <c r="J17" s="23">
        <f>(I17+27.03)*1.0107</f>
        <v>4061.1749732123894</v>
      </c>
      <c r="K17" s="319">
        <v>4510</v>
      </c>
      <c r="L17" s="23">
        <f>(K17+29.46)*1.0075</f>
        <v>4573.505950000001</v>
      </c>
      <c r="M17" s="32" t="s">
        <v>91</v>
      </c>
      <c r="N17" s="322">
        <f t="shared" si="0"/>
        <v>3991.1504424778764</v>
      </c>
      <c r="O17" s="322">
        <f t="shared" si="1"/>
        <v>4053.5450884955762</v>
      </c>
      <c r="P17" s="322">
        <f t="shared" si="2"/>
        <v>4510</v>
      </c>
      <c r="Q17" s="322">
        <f t="shared" si="3"/>
        <v>4580.505950000001</v>
      </c>
      <c r="R17" s="328"/>
      <c r="S17" s="322">
        <f t="shared" si="4"/>
        <v>3991.1504424778764</v>
      </c>
      <c r="T17" s="322">
        <f t="shared" si="5"/>
        <v>4042.0406637168153</v>
      </c>
      <c r="U17" s="322">
        <f t="shared" si="6"/>
        <v>4510</v>
      </c>
      <c r="V17" s="322">
        <f t="shared" si="7"/>
        <v>4567.505950000001</v>
      </c>
      <c r="W17" s="328"/>
      <c r="X17" s="331">
        <v>5765</v>
      </c>
      <c r="Y17" s="335">
        <f t="shared" si="8"/>
        <v>1255</v>
      </c>
    </row>
    <row r="18" spans="1:25" ht="13.5" customHeight="1">
      <c r="A18" s="53">
        <v>13</v>
      </c>
      <c r="B18" s="9"/>
      <c r="C18" s="59" t="s">
        <v>131</v>
      </c>
      <c r="D18" s="198"/>
      <c r="E18" s="9">
        <v>2003005</v>
      </c>
      <c r="F18" s="13" t="s">
        <v>44</v>
      </c>
      <c r="G18" s="9">
        <v>13</v>
      </c>
      <c r="H18" s="9" t="s">
        <v>21</v>
      </c>
      <c r="I18" s="23">
        <f>K18/1.13</f>
        <v>4122.12389380531</v>
      </c>
      <c r="J18" s="23">
        <f>(I18+27.03)*1.0107</f>
        <v>4193.549840469026</v>
      </c>
      <c r="K18" s="319">
        <v>4658</v>
      </c>
      <c r="L18" s="23">
        <f>(K18+29.46)*1.0075</f>
        <v>4722.61595</v>
      </c>
      <c r="M18" s="32" t="s">
        <v>132</v>
      </c>
      <c r="N18" s="322">
        <f t="shared" si="0"/>
        <v>4122.12389380531</v>
      </c>
      <c r="O18" s="322">
        <f t="shared" si="1"/>
        <v>4185.500840707965</v>
      </c>
      <c r="P18" s="324">
        <f t="shared" si="2"/>
        <v>4658</v>
      </c>
      <c r="Q18" s="322">
        <f t="shared" si="3"/>
        <v>4729.61595</v>
      </c>
      <c r="R18" s="328"/>
      <c r="S18" s="322">
        <f t="shared" si="4"/>
        <v>4122.12389380531</v>
      </c>
      <c r="T18" s="322">
        <f t="shared" si="5"/>
        <v>4173.996415929204</v>
      </c>
      <c r="U18" s="322">
        <f t="shared" si="6"/>
        <v>4658</v>
      </c>
      <c r="V18" s="322">
        <f t="shared" si="7"/>
        <v>4716.61595</v>
      </c>
      <c r="W18" s="328"/>
      <c r="X18" s="331">
        <v>5917.5</v>
      </c>
      <c r="Y18" s="335">
        <f t="shared" si="8"/>
        <v>1259.5</v>
      </c>
    </row>
    <row r="19" spans="1:25" s="104" customFormat="1" ht="27.75" customHeight="1">
      <c r="A19" s="53">
        <v>14</v>
      </c>
      <c r="B19" s="9"/>
      <c r="C19" s="6" t="s">
        <v>45</v>
      </c>
      <c r="D19" s="11" t="s">
        <v>46</v>
      </c>
      <c r="E19" s="25"/>
      <c r="F19" s="21" t="s">
        <v>47</v>
      </c>
      <c r="G19" s="9">
        <v>13</v>
      </c>
      <c r="H19" s="7" t="s">
        <v>21</v>
      </c>
      <c r="I19" s="320">
        <f>I20*0.6+I21*0.2+I22*0.2</f>
        <v>4519.292035398231</v>
      </c>
      <c r="J19" s="157">
        <f>J20*0.6+J21*0.2+J22*0.2</f>
        <v>4594.967681176991</v>
      </c>
      <c r="K19" s="320">
        <f>K20*0.6+K21*0.2+K22*0.2</f>
        <v>5106.799999999999</v>
      </c>
      <c r="L19" s="157">
        <f>L20*0.6+L21*0.2+L22*0.2</f>
        <v>5174.7819500000005</v>
      </c>
      <c r="M19" s="157"/>
      <c r="N19" s="318">
        <f t="shared" si="0"/>
        <v>4519.29203539823</v>
      </c>
      <c r="O19" s="318">
        <f t="shared" si="1"/>
        <v>4585.647743362832</v>
      </c>
      <c r="P19" s="318">
        <f t="shared" si="2"/>
        <v>5106.799999999999</v>
      </c>
      <c r="Q19" s="318">
        <f t="shared" si="3"/>
        <v>5181.7819500000005</v>
      </c>
      <c r="R19" s="157"/>
      <c r="S19" s="318">
        <f t="shared" si="4"/>
        <v>4519.29203539823</v>
      </c>
      <c r="T19" s="318">
        <f t="shared" si="5"/>
        <v>4574.1433185840715</v>
      </c>
      <c r="U19" s="318">
        <f t="shared" si="6"/>
        <v>5106.799999999999</v>
      </c>
      <c r="V19" s="318">
        <f t="shared" si="7"/>
        <v>5168.7819500000005</v>
      </c>
      <c r="W19" s="157"/>
      <c r="X19" s="332">
        <v>6500</v>
      </c>
      <c r="Y19" s="335">
        <f t="shared" si="8"/>
        <v>1393.2000000000007</v>
      </c>
    </row>
    <row r="20" spans="1:25" ht="13.5" customHeight="1">
      <c r="A20" s="53">
        <v>15</v>
      </c>
      <c r="B20" s="9"/>
      <c r="C20" s="9"/>
      <c r="D20" s="10" t="s">
        <v>48</v>
      </c>
      <c r="E20" s="25"/>
      <c r="F20" s="10" t="s">
        <v>49</v>
      </c>
      <c r="G20" s="9">
        <v>13</v>
      </c>
      <c r="H20" s="9" t="s">
        <v>21</v>
      </c>
      <c r="I20" s="23">
        <f>K20/1.13</f>
        <v>4197.345132743363</v>
      </c>
      <c r="J20" s="23">
        <f>(I20+27.03)*1.0107</f>
        <v>4269.575946663716</v>
      </c>
      <c r="K20" s="319">
        <v>4743</v>
      </c>
      <c r="L20" s="23">
        <f>(K20+29.46)*1.0075</f>
        <v>4808.25345</v>
      </c>
      <c r="M20" s="31" t="s">
        <v>133</v>
      </c>
      <c r="N20" s="322">
        <f t="shared" si="0"/>
        <v>4197.345132743363</v>
      </c>
      <c r="O20" s="322">
        <f t="shared" si="1"/>
        <v>4261.286238938053</v>
      </c>
      <c r="P20" s="322">
        <f t="shared" si="2"/>
        <v>4743</v>
      </c>
      <c r="Q20" s="322">
        <f t="shared" si="3"/>
        <v>4815.25345</v>
      </c>
      <c r="R20" s="328"/>
      <c r="S20" s="322">
        <f t="shared" si="4"/>
        <v>4197.345132743363</v>
      </c>
      <c r="T20" s="322">
        <f t="shared" si="5"/>
        <v>4249.7818141592925</v>
      </c>
      <c r="U20" s="322">
        <f t="shared" si="6"/>
        <v>4743</v>
      </c>
      <c r="V20" s="322">
        <f t="shared" si="7"/>
        <v>4802.25345</v>
      </c>
      <c r="W20" s="328"/>
      <c r="X20" s="331">
        <v>6222.5</v>
      </c>
      <c r="Y20" s="335">
        <f t="shared" si="8"/>
        <v>1479.5</v>
      </c>
    </row>
    <row r="21" spans="1:25" ht="13.5" customHeight="1">
      <c r="A21" s="53">
        <v>16</v>
      </c>
      <c r="B21" s="9"/>
      <c r="C21" s="9"/>
      <c r="D21" s="10" t="s">
        <v>50</v>
      </c>
      <c r="E21" s="25">
        <v>2003009</v>
      </c>
      <c r="F21" s="10" t="s">
        <v>51</v>
      </c>
      <c r="G21" s="9">
        <v>13</v>
      </c>
      <c r="H21" s="9" t="s">
        <v>21</v>
      </c>
      <c r="I21" s="23">
        <f>K21/1.13</f>
        <v>4738.938053097346</v>
      </c>
      <c r="J21" s="23">
        <f>(I21+27.03)*1.0107</f>
        <v>4816.963911265487</v>
      </c>
      <c r="K21" s="319">
        <v>5355</v>
      </c>
      <c r="L21" s="23">
        <f>(K21+29.46)*1.0075</f>
        <v>5424.84345</v>
      </c>
      <c r="M21" s="31" t="s">
        <v>93</v>
      </c>
      <c r="N21" s="322">
        <f t="shared" si="0"/>
        <v>4738.938053097346</v>
      </c>
      <c r="O21" s="322">
        <f t="shared" si="1"/>
        <v>4806.941106194691</v>
      </c>
      <c r="P21" s="322">
        <f t="shared" si="2"/>
        <v>5355</v>
      </c>
      <c r="Q21" s="322">
        <f t="shared" si="3"/>
        <v>5431.84345</v>
      </c>
      <c r="R21" s="328"/>
      <c r="S21" s="322">
        <f t="shared" si="4"/>
        <v>4738.938053097346</v>
      </c>
      <c r="T21" s="322">
        <f t="shared" si="5"/>
        <v>4795.43668141593</v>
      </c>
      <c r="U21" s="322">
        <f t="shared" si="6"/>
        <v>5355</v>
      </c>
      <c r="V21" s="322">
        <f t="shared" si="7"/>
        <v>5418.84345</v>
      </c>
      <c r="W21" s="328"/>
      <c r="X21" s="331">
        <v>6657.5</v>
      </c>
      <c r="Y21" s="335">
        <f t="shared" si="8"/>
        <v>1302.5</v>
      </c>
    </row>
    <row r="22" spans="1:25" ht="13.5" customHeight="1">
      <c r="A22" s="53">
        <v>17</v>
      </c>
      <c r="B22" s="9"/>
      <c r="C22" s="9"/>
      <c r="D22" s="10" t="s">
        <v>52</v>
      </c>
      <c r="E22" s="25">
        <v>2003008</v>
      </c>
      <c r="F22" s="10" t="s">
        <v>53</v>
      </c>
      <c r="G22" s="9">
        <v>13</v>
      </c>
      <c r="H22" s="9" t="s">
        <v>21</v>
      </c>
      <c r="I22" s="23">
        <f>K22/1.13</f>
        <v>5265.486725663717</v>
      </c>
      <c r="J22" s="23">
        <f>(I22+27.03)*1.0107</f>
        <v>5349.146654628318</v>
      </c>
      <c r="K22" s="319">
        <v>5950</v>
      </c>
      <c r="L22" s="23">
        <f>(K22+29.46)*1.0075</f>
        <v>6024.305950000001</v>
      </c>
      <c r="M22" s="32" t="s">
        <v>134</v>
      </c>
      <c r="N22" s="322">
        <f t="shared" si="0"/>
        <v>5265.486725663717</v>
      </c>
      <c r="O22" s="322">
        <f t="shared" si="1"/>
        <v>5337.438893805311</v>
      </c>
      <c r="P22" s="322">
        <f t="shared" si="2"/>
        <v>5950</v>
      </c>
      <c r="Q22" s="322">
        <f t="shared" si="3"/>
        <v>6031.305950000001</v>
      </c>
      <c r="R22" s="328"/>
      <c r="S22" s="322">
        <f t="shared" si="4"/>
        <v>5265.486725663717</v>
      </c>
      <c r="T22" s="322">
        <f t="shared" si="5"/>
        <v>5325.93446902655</v>
      </c>
      <c r="U22" s="322">
        <f t="shared" si="6"/>
        <v>5950</v>
      </c>
      <c r="V22" s="322">
        <f t="shared" si="7"/>
        <v>6018.305950000001</v>
      </c>
      <c r="W22" s="328"/>
      <c r="X22" s="331">
        <v>7175</v>
      </c>
      <c r="Y22" s="335">
        <f t="shared" si="8"/>
        <v>1225</v>
      </c>
    </row>
    <row r="23" spans="1:25" ht="13.5" customHeight="1">
      <c r="A23" s="53">
        <v>18</v>
      </c>
      <c r="B23" s="9"/>
      <c r="C23" s="10" t="s">
        <v>54</v>
      </c>
      <c r="D23" s="13"/>
      <c r="E23" s="9">
        <v>2001006</v>
      </c>
      <c r="F23" s="13"/>
      <c r="G23" s="9">
        <v>13</v>
      </c>
      <c r="H23" s="9" t="s">
        <v>21</v>
      </c>
      <c r="I23" s="23">
        <f>K23/1.13</f>
        <v>5433.628318584071</v>
      </c>
      <c r="J23" s="23">
        <f>(I23+27.03)*1.0107</f>
        <v>5519.08736259292</v>
      </c>
      <c r="K23" s="319">
        <v>6140</v>
      </c>
      <c r="L23" s="23">
        <f>(K23+29.46)*1.0075</f>
        <v>6215.73095</v>
      </c>
      <c r="M23" s="113"/>
      <c r="N23" s="322">
        <f t="shared" si="0"/>
        <v>5433.628318584071</v>
      </c>
      <c r="O23" s="322">
        <f t="shared" si="1"/>
        <v>5506.841548672567</v>
      </c>
      <c r="P23" s="322">
        <f t="shared" si="2"/>
        <v>6140</v>
      </c>
      <c r="Q23" s="322">
        <f t="shared" si="3"/>
        <v>6222.73095</v>
      </c>
      <c r="R23" s="328"/>
      <c r="S23" s="322">
        <f t="shared" si="4"/>
        <v>5433.628318584071</v>
      </c>
      <c r="T23" s="322">
        <f t="shared" si="5"/>
        <v>5495.337123893806</v>
      </c>
      <c r="U23" s="322">
        <f t="shared" si="6"/>
        <v>6140</v>
      </c>
      <c r="V23" s="322">
        <f t="shared" si="7"/>
        <v>6209.73095</v>
      </c>
      <c r="W23" s="328"/>
      <c r="X23" s="331"/>
      <c r="Y23" s="335"/>
    </row>
    <row r="24" spans="1:25" ht="13.5" customHeight="1">
      <c r="A24" s="53">
        <v>19</v>
      </c>
      <c r="B24" s="9"/>
      <c r="C24" s="10" t="s">
        <v>55</v>
      </c>
      <c r="D24" s="13"/>
      <c r="E24" s="9">
        <v>2001008</v>
      </c>
      <c r="F24" s="10" t="s">
        <v>56</v>
      </c>
      <c r="G24" s="9">
        <v>13</v>
      </c>
      <c r="H24" s="9" t="s">
        <v>21</v>
      </c>
      <c r="I24" s="23">
        <f>K24/1.13</f>
        <v>5079.646017699116</v>
      </c>
      <c r="J24" s="23">
        <f>(I24+27.03)*1.0107</f>
        <v>5161.317451088496</v>
      </c>
      <c r="K24" s="319">
        <v>5740</v>
      </c>
      <c r="L24" s="23">
        <f>(K24+29.46)*1.0075</f>
        <v>5812.73095</v>
      </c>
      <c r="M24" s="325"/>
      <c r="N24" s="322">
        <f t="shared" si="0"/>
        <v>5079.646017699116</v>
      </c>
      <c r="O24" s="322">
        <f t="shared" si="1"/>
        <v>5150.204380530974</v>
      </c>
      <c r="P24" s="322">
        <f t="shared" si="2"/>
        <v>5740</v>
      </c>
      <c r="Q24" s="322">
        <f t="shared" si="3"/>
        <v>5819.73095</v>
      </c>
      <c r="R24" s="328"/>
      <c r="S24" s="322">
        <f t="shared" si="4"/>
        <v>5079.646017699116</v>
      </c>
      <c r="T24" s="322">
        <f t="shared" si="5"/>
        <v>5138.699955752213</v>
      </c>
      <c r="U24" s="322">
        <f t="shared" si="6"/>
        <v>5740</v>
      </c>
      <c r="V24" s="322">
        <f t="shared" si="7"/>
        <v>5806.73095</v>
      </c>
      <c r="W24" s="328"/>
      <c r="X24" s="331"/>
      <c r="Y24" s="335"/>
    </row>
    <row r="25" spans="1:23" s="104" customFormat="1" ht="27.75" customHeight="1">
      <c r="A25" s="53">
        <v>20</v>
      </c>
      <c r="B25" s="6" t="s">
        <v>57</v>
      </c>
      <c r="C25" s="11" t="s">
        <v>58</v>
      </c>
      <c r="D25" s="14"/>
      <c r="E25" s="7"/>
      <c r="F25" s="21" t="s">
        <v>135</v>
      </c>
      <c r="G25" s="9">
        <v>13</v>
      </c>
      <c r="H25" s="7" t="s">
        <v>21</v>
      </c>
      <c r="I25" s="157">
        <f>I26*0.1+I27*0.6+I28*0.3</f>
        <v>469.02654867256643</v>
      </c>
      <c r="J25" s="157">
        <f aca="true" t="shared" si="9" ref="J25:V25">J26*0.1+J27*0.6+J28*0.3</f>
        <v>490.5419847858408</v>
      </c>
      <c r="K25" s="157">
        <f t="shared" si="9"/>
        <v>530</v>
      </c>
      <c r="L25" s="157">
        <f t="shared" si="9"/>
        <v>553.3964729999999</v>
      </c>
      <c r="M25" s="157"/>
      <c r="N25" s="157">
        <f t="shared" si="9"/>
        <v>469.02654867256643</v>
      </c>
      <c r="O25" s="157">
        <f t="shared" si="9"/>
        <v>490.5419847858408</v>
      </c>
      <c r="P25" s="157">
        <f t="shared" si="9"/>
        <v>530</v>
      </c>
      <c r="Q25" s="157">
        <f t="shared" si="9"/>
        <v>553.3964729999999</v>
      </c>
      <c r="R25" s="157"/>
      <c r="S25" s="157">
        <f t="shared" si="9"/>
        <v>469.02654867256643</v>
      </c>
      <c r="T25" s="157">
        <f t="shared" si="9"/>
        <v>490.5419847858408</v>
      </c>
      <c r="U25" s="157">
        <f t="shared" si="9"/>
        <v>530</v>
      </c>
      <c r="V25" s="157">
        <f t="shared" si="9"/>
        <v>553.3964729999999</v>
      </c>
      <c r="W25" s="157"/>
    </row>
    <row r="26" spans="1:23" ht="13.5" customHeight="1">
      <c r="A26" s="53">
        <v>22</v>
      </c>
      <c r="B26" s="9"/>
      <c r="C26" s="13" t="s">
        <v>60</v>
      </c>
      <c r="D26" s="13"/>
      <c r="E26" s="9"/>
      <c r="F26" s="10" t="s">
        <v>62</v>
      </c>
      <c r="G26" s="9">
        <v>13</v>
      </c>
      <c r="H26" s="9" t="s">
        <v>21</v>
      </c>
      <c r="I26" s="23">
        <f>K26/1.13</f>
        <v>415.92920353982305</v>
      </c>
      <c r="J26" s="23">
        <f>(I26+9.01)*1.016*1.01</f>
        <v>436.0556131044248</v>
      </c>
      <c r="K26" s="319">
        <v>470</v>
      </c>
      <c r="L26" s="23">
        <f>(K26+9.82)*1.015*1.01</f>
        <v>491.88747299999994</v>
      </c>
      <c r="M26" s="23"/>
      <c r="N26" s="23">
        <f>P26/1.13</f>
        <v>415.92920353982305</v>
      </c>
      <c r="O26" s="23">
        <f>(N26+9.01)*1.016*1.01</f>
        <v>436.0556131044248</v>
      </c>
      <c r="P26" s="126">
        <f>K26</f>
        <v>470</v>
      </c>
      <c r="Q26" s="23">
        <f>(P26+9.82)*1.015*1.01</f>
        <v>491.88747299999994</v>
      </c>
      <c r="R26" s="23"/>
      <c r="S26" s="23">
        <f>U26/1.13</f>
        <v>415.92920353982305</v>
      </c>
      <c r="T26" s="23">
        <f>(S26+9.01)*1.016*1.01</f>
        <v>436.0556131044248</v>
      </c>
      <c r="U26" s="126">
        <f>K26</f>
        <v>470</v>
      </c>
      <c r="V26" s="23">
        <f>(U26+9.82)*1.015*1.01</f>
        <v>491.88747299999994</v>
      </c>
      <c r="W26" s="150"/>
    </row>
    <row r="27" spans="1:23" ht="13.5" customHeight="1">
      <c r="A27" s="53">
        <v>24</v>
      </c>
      <c r="B27" s="9"/>
      <c r="C27" s="13" t="s">
        <v>63</v>
      </c>
      <c r="D27" s="13"/>
      <c r="E27" s="9"/>
      <c r="F27" s="10" t="s">
        <v>62</v>
      </c>
      <c r="G27" s="9">
        <v>13</v>
      </c>
      <c r="H27" s="9" t="s">
        <v>21</v>
      </c>
      <c r="I27" s="23">
        <f>K27/1.13</f>
        <v>460.1769911504425</v>
      </c>
      <c r="J27" s="23">
        <f>(I27+9.01)*1.016*1.01</f>
        <v>481.46092283893813</v>
      </c>
      <c r="K27" s="319">
        <v>520</v>
      </c>
      <c r="L27" s="23">
        <f>(K27+9.82)*1.015*1.01</f>
        <v>543.1449729999999</v>
      </c>
      <c r="M27" s="23"/>
      <c r="N27" s="23">
        <f>P27/1.13</f>
        <v>460.1769911504425</v>
      </c>
      <c r="O27" s="23">
        <f>(N27+9.01)*1.016*1.01</f>
        <v>481.46092283893813</v>
      </c>
      <c r="P27" s="126">
        <f>K27</f>
        <v>520</v>
      </c>
      <c r="Q27" s="23">
        <f>(P27+9.82)*1.015*1.01</f>
        <v>543.1449729999999</v>
      </c>
      <c r="R27" s="23"/>
      <c r="S27" s="23">
        <f>U27/1.13</f>
        <v>460.1769911504425</v>
      </c>
      <c r="T27" s="23">
        <f>(S27+9.01)*1.016*1.01</f>
        <v>481.46092283893813</v>
      </c>
      <c r="U27" s="126">
        <f>K27</f>
        <v>520</v>
      </c>
      <c r="V27" s="23">
        <f>(U27+9.82)*1.015*1.01</f>
        <v>543.1449729999999</v>
      </c>
      <c r="W27" s="150"/>
    </row>
    <row r="28" spans="1:23" ht="13.5" customHeight="1">
      <c r="A28" s="53">
        <v>26</v>
      </c>
      <c r="B28" s="9"/>
      <c r="C28" s="13" t="s">
        <v>136</v>
      </c>
      <c r="D28" s="13"/>
      <c r="E28" s="9"/>
      <c r="F28" s="10" t="s">
        <v>62</v>
      </c>
      <c r="G28" s="9">
        <v>13</v>
      </c>
      <c r="H28" s="9" t="s">
        <v>21</v>
      </c>
      <c r="I28" s="23">
        <f>K28/1.13</f>
        <v>504.424778761062</v>
      </c>
      <c r="J28" s="23">
        <f>(I28+9.01)*1.016*1.01</f>
        <v>526.8662325734514</v>
      </c>
      <c r="K28" s="319">
        <v>570</v>
      </c>
      <c r="L28" s="23">
        <f>(K28+9.82)*1.015*1.01</f>
        <v>594.402473</v>
      </c>
      <c r="M28" s="23"/>
      <c r="N28" s="23">
        <f>P28/1.13</f>
        <v>504.424778761062</v>
      </c>
      <c r="O28" s="23">
        <f>(N28+9.01)*1.016*1.01</f>
        <v>526.8662325734514</v>
      </c>
      <c r="P28" s="126">
        <f>K28</f>
        <v>570</v>
      </c>
      <c r="Q28" s="23">
        <f>(P28+9.82)*1.015*1.01</f>
        <v>594.402473</v>
      </c>
      <c r="R28" s="23"/>
      <c r="S28" s="23">
        <f>U28/1.13</f>
        <v>504.424778761062</v>
      </c>
      <c r="T28" s="23">
        <f>(S28+9.01)*1.016*1.01</f>
        <v>526.8662325734514</v>
      </c>
      <c r="U28" s="126">
        <f>K28</f>
        <v>570</v>
      </c>
      <c r="V28" s="23">
        <f>(U28+9.82)*1.015*1.01</f>
        <v>594.402473</v>
      </c>
      <c r="W28" s="150"/>
    </row>
    <row r="29" spans="1:23" ht="7.5" customHeight="1">
      <c r="A29" s="173"/>
      <c r="B29" s="173"/>
      <c r="C29" s="314"/>
      <c r="D29" s="314"/>
      <c r="E29" s="173"/>
      <c r="F29" s="315"/>
      <c r="G29" s="173"/>
      <c r="H29" s="173"/>
      <c r="I29" s="207"/>
      <c r="J29" s="207"/>
      <c r="K29" s="321"/>
      <c r="L29" s="207"/>
      <c r="M29" s="207"/>
      <c r="N29" s="207"/>
      <c r="O29" s="207"/>
      <c r="P29" s="326"/>
      <c r="Q29" s="207"/>
      <c r="R29" s="207"/>
      <c r="S29" s="207"/>
      <c r="T29" s="207"/>
      <c r="U29" s="326"/>
      <c r="V29" s="207"/>
      <c r="W29" s="308"/>
    </row>
    <row r="30" spans="1:23" s="313" customFormat="1" ht="21.75">
      <c r="A30" s="4" t="str">
        <f>A1</f>
        <v>2023年4月份温州市交通建设工程钢材和水泥价格信息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s="173" customFormat="1" ht="13.5" customHeight="1">
      <c r="A32" s="6" t="s">
        <v>2</v>
      </c>
      <c r="B32" s="6" t="s">
        <v>3</v>
      </c>
      <c r="C32" s="6" t="s">
        <v>4</v>
      </c>
      <c r="D32" s="9"/>
      <c r="E32" s="6" t="s">
        <v>5</v>
      </c>
      <c r="F32" s="6" t="s">
        <v>6</v>
      </c>
      <c r="G32" s="20" t="s">
        <v>119</v>
      </c>
      <c r="H32" s="6" t="s">
        <v>7</v>
      </c>
      <c r="I32" s="54" t="s">
        <v>137</v>
      </c>
      <c r="J32" s="316"/>
      <c r="K32" s="316"/>
      <c r="L32" s="316"/>
      <c r="M32" s="317"/>
      <c r="N32" s="54" t="s">
        <v>138</v>
      </c>
      <c r="O32" s="316"/>
      <c r="P32" s="316"/>
      <c r="Q32" s="316"/>
      <c r="R32" s="317"/>
      <c r="S32" s="20" t="s">
        <v>139</v>
      </c>
      <c r="T32" s="9"/>
      <c r="U32" s="9"/>
      <c r="V32" s="9"/>
      <c r="W32" s="9"/>
    </row>
    <row r="33" spans="1:23" s="173" customFormat="1" ht="13.5" customHeight="1">
      <c r="A33" s="6"/>
      <c r="B33" s="6"/>
      <c r="C33" s="6"/>
      <c r="D33" s="9"/>
      <c r="E33" s="6"/>
      <c r="F33" s="6"/>
      <c r="G33" s="20"/>
      <c r="H33" s="6"/>
      <c r="I33" s="54" t="s">
        <v>123</v>
      </c>
      <c r="J33" s="317"/>
      <c r="K33" s="54" t="s">
        <v>124</v>
      </c>
      <c r="L33" s="317"/>
      <c r="M33" s="129" t="s">
        <v>88</v>
      </c>
      <c r="N33" s="54" t="s">
        <v>123</v>
      </c>
      <c r="O33" s="317"/>
      <c r="P33" s="54" t="s">
        <v>124</v>
      </c>
      <c r="Q33" s="317"/>
      <c r="R33" s="129" t="s">
        <v>88</v>
      </c>
      <c r="S33" s="54" t="s">
        <v>123</v>
      </c>
      <c r="T33" s="317"/>
      <c r="U33" s="54" t="s">
        <v>124</v>
      </c>
      <c r="V33" s="317"/>
      <c r="W33" s="129" t="s">
        <v>88</v>
      </c>
    </row>
    <row r="34" spans="1:23" s="173" customFormat="1" ht="25.5">
      <c r="A34" s="9"/>
      <c r="B34" s="9"/>
      <c r="C34" s="9"/>
      <c r="D34" s="9"/>
      <c r="E34" s="9"/>
      <c r="F34" s="9"/>
      <c r="G34" s="20"/>
      <c r="H34" s="9"/>
      <c r="I34" s="6" t="s">
        <v>14</v>
      </c>
      <c r="J34" s="6" t="s">
        <v>15</v>
      </c>
      <c r="K34" s="6" t="s">
        <v>14</v>
      </c>
      <c r="L34" s="6" t="s">
        <v>15</v>
      </c>
      <c r="M34" s="323"/>
      <c r="N34" s="6" t="s">
        <v>14</v>
      </c>
      <c r="O34" s="6" t="s">
        <v>15</v>
      </c>
      <c r="P34" s="6" t="s">
        <v>14</v>
      </c>
      <c r="Q34" s="6" t="s">
        <v>15</v>
      </c>
      <c r="R34" s="323"/>
      <c r="S34" s="6" t="s">
        <v>14</v>
      </c>
      <c r="T34" s="6" t="s">
        <v>15</v>
      </c>
      <c r="U34" s="6" t="s">
        <v>14</v>
      </c>
      <c r="V34" s="6" t="s">
        <v>15</v>
      </c>
      <c r="W34" s="323"/>
    </row>
    <row r="35" spans="1:23" s="104" customFormat="1" ht="27.75" customHeight="1">
      <c r="A35" s="53">
        <v>1</v>
      </c>
      <c r="B35" s="6" t="s">
        <v>16</v>
      </c>
      <c r="C35" s="6" t="s">
        <v>17</v>
      </c>
      <c r="D35" s="8" t="s">
        <v>18</v>
      </c>
      <c r="E35" s="9" t="s">
        <v>126</v>
      </c>
      <c r="F35" s="21" t="s">
        <v>20</v>
      </c>
      <c r="G35" s="9">
        <v>13</v>
      </c>
      <c r="H35" s="52" t="s">
        <v>21</v>
      </c>
      <c r="I35" s="318">
        <f aca="true" t="shared" si="10" ref="I35:I53">K35/(1+0.01*G6)</f>
        <v>4146.017699115045</v>
      </c>
      <c r="J35" s="318">
        <f aca="true" t="shared" si="11" ref="J35:J53">L35/(1+0.01*G6)</f>
        <v>4225.503053097346</v>
      </c>
      <c r="K35" s="318">
        <f>K6</f>
        <v>4685</v>
      </c>
      <c r="L35" s="318">
        <f>L6+25</f>
        <v>4774.818450000001</v>
      </c>
      <c r="M35" s="154"/>
      <c r="N35" s="318">
        <f aca="true" t="shared" si="12" ref="N35:N53">P35/(1+0.01*G6)</f>
        <v>4146.017699115045</v>
      </c>
      <c r="O35" s="318">
        <f aca="true" t="shared" si="13" ref="O35:O53">Q35/(1+0.01*G6)</f>
        <v>4177.715442477877</v>
      </c>
      <c r="P35" s="318">
        <f>K6</f>
        <v>4685</v>
      </c>
      <c r="Q35" s="318">
        <f>L6-29</f>
        <v>4720.818450000001</v>
      </c>
      <c r="R35" s="322"/>
      <c r="S35" s="318">
        <f aca="true" t="shared" si="14" ref="S35:S53">U35/(1+0.01*G6)</f>
        <v>4146.017699115045</v>
      </c>
      <c r="T35" s="318">
        <f aca="true" t="shared" si="15" ref="T35:T53">V35/(1+0.01*G6)</f>
        <v>4194.529601769913</v>
      </c>
      <c r="U35" s="318">
        <f>K6</f>
        <v>4685</v>
      </c>
      <c r="V35" s="318">
        <f>L6-10</f>
        <v>4739.818450000001</v>
      </c>
      <c r="W35" s="322"/>
    </row>
    <row r="36" spans="1:23" ht="25.5">
      <c r="A36" s="53">
        <v>2</v>
      </c>
      <c r="B36" s="9"/>
      <c r="C36" s="9"/>
      <c r="D36" s="10" t="s">
        <v>22</v>
      </c>
      <c r="E36" s="9"/>
      <c r="F36" s="10" t="s">
        <v>23</v>
      </c>
      <c r="G36" s="9">
        <v>13</v>
      </c>
      <c r="H36" s="9" t="s">
        <v>21</v>
      </c>
      <c r="I36" s="322">
        <f t="shared" si="10"/>
        <v>4163.716814159293</v>
      </c>
      <c r="J36" s="322">
        <f t="shared" si="11"/>
        <v>4243.334911504426</v>
      </c>
      <c r="K36" s="322">
        <f aca="true" t="shared" si="16" ref="K36:K53">K7</f>
        <v>4705</v>
      </c>
      <c r="L36" s="322">
        <f aca="true" t="shared" si="17" ref="L36:L53">L7+25</f>
        <v>4794.96845</v>
      </c>
      <c r="M36" s="32"/>
      <c r="N36" s="322">
        <f t="shared" si="12"/>
        <v>4163.716814159293</v>
      </c>
      <c r="O36" s="322">
        <f t="shared" si="13"/>
        <v>4195.547300884957</v>
      </c>
      <c r="P36" s="322">
        <f aca="true" t="shared" si="18" ref="P36:P53">K7</f>
        <v>4705</v>
      </c>
      <c r="Q36" s="322">
        <f aca="true" t="shared" si="19" ref="Q36:Q53">L7-29</f>
        <v>4740.96845</v>
      </c>
      <c r="R36" s="328"/>
      <c r="S36" s="322">
        <f t="shared" si="14"/>
        <v>4163.716814159293</v>
      </c>
      <c r="T36" s="322">
        <f t="shared" si="15"/>
        <v>4212.361460176991</v>
      </c>
      <c r="U36" s="322">
        <f aca="true" t="shared" si="20" ref="U36:U53">K7</f>
        <v>4705</v>
      </c>
      <c r="V36" s="322">
        <f aca="true" t="shared" si="21" ref="V36:V53">L7-10</f>
        <v>4759.96845</v>
      </c>
      <c r="W36" s="328"/>
    </row>
    <row r="37" spans="1:23" ht="12.75">
      <c r="A37" s="53">
        <v>3</v>
      </c>
      <c r="B37" s="9"/>
      <c r="C37" s="9"/>
      <c r="D37" s="10" t="s">
        <v>24</v>
      </c>
      <c r="E37" s="9"/>
      <c r="F37" s="10" t="s">
        <v>25</v>
      </c>
      <c r="G37" s="9">
        <v>13</v>
      </c>
      <c r="H37" s="9" t="s">
        <v>21</v>
      </c>
      <c r="I37" s="322">
        <f t="shared" si="10"/>
        <v>4075.2212389380534</v>
      </c>
      <c r="J37" s="322">
        <f t="shared" si="11"/>
        <v>4154.175619469027</v>
      </c>
      <c r="K37" s="322">
        <f t="shared" si="16"/>
        <v>4605</v>
      </c>
      <c r="L37" s="322">
        <f t="shared" si="17"/>
        <v>4694.21845</v>
      </c>
      <c r="M37" s="32"/>
      <c r="N37" s="322">
        <f t="shared" si="12"/>
        <v>4075.2212389380534</v>
      </c>
      <c r="O37" s="322">
        <f t="shared" si="13"/>
        <v>4106.388008849558</v>
      </c>
      <c r="P37" s="322">
        <f t="shared" si="18"/>
        <v>4605</v>
      </c>
      <c r="Q37" s="322">
        <f t="shared" si="19"/>
        <v>4640.21845</v>
      </c>
      <c r="R37" s="328"/>
      <c r="S37" s="322">
        <f t="shared" si="14"/>
        <v>4075.2212389380534</v>
      </c>
      <c r="T37" s="322">
        <f t="shared" si="15"/>
        <v>4123.202168141594</v>
      </c>
      <c r="U37" s="322">
        <f t="shared" si="20"/>
        <v>4605</v>
      </c>
      <c r="V37" s="322">
        <f t="shared" si="21"/>
        <v>4659.21845</v>
      </c>
      <c r="W37" s="328"/>
    </row>
    <row r="38" spans="1:23" s="104" customFormat="1" ht="36" customHeight="1">
      <c r="A38" s="53">
        <v>4</v>
      </c>
      <c r="B38" s="9"/>
      <c r="C38" s="6" t="s">
        <v>26</v>
      </c>
      <c r="D38" s="11" t="s">
        <v>27</v>
      </c>
      <c r="E38" s="9">
        <v>2001002</v>
      </c>
      <c r="F38" s="21" t="s">
        <v>28</v>
      </c>
      <c r="G38" s="9">
        <v>13</v>
      </c>
      <c r="H38" s="7" t="s">
        <v>21</v>
      </c>
      <c r="I38" s="318">
        <f t="shared" si="10"/>
        <v>3819.0265486725666</v>
      </c>
      <c r="J38" s="318">
        <f t="shared" si="11"/>
        <v>3896.05946902655</v>
      </c>
      <c r="K38" s="318">
        <f t="shared" si="16"/>
        <v>4315.5</v>
      </c>
      <c r="L38" s="318">
        <f t="shared" si="17"/>
        <v>4402.547200000001</v>
      </c>
      <c r="M38" s="33"/>
      <c r="N38" s="318">
        <f t="shared" si="12"/>
        <v>3819.0265486725666</v>
      </c>
      <c r="O38" s="318">
        <f t="shared" si="13"/>
        <v>3848.271858407081</v>
      </c>
      <c r="P38" s="318">
        <f t="shared" si="18"/>
        <v>4315.5</v>
      </c>
      <c r="Q38" s="318">
        <f t="shared" si="19"/>
        <v>4348.547200000001</v>
      </c>
      <c r="R38" s="113"/>
      <c r="S38" s="318">
        <f t="shared" si="14"/>
        <v>3819.0265486725666</v>
      </c>
      <c r="T38" s="318">
        <f t="shared" si="15"/>
        <v>3865.0860176991164</v>
      </c>
      <c r="U38" s="318">
        <f t="shared" si="20"/>
        <v>4315.5</v>
      </c>
      <c r="V38" s="318">
        <f t="shared" si="21"/>
        <v>4367.547200000001</v>
      </c>
      <c r="W38" s="113"/>
    </row>
    <row r="39" spans="1:23" ht="13.5" customHeight="1">
      <c r="A39" s="53">
        <v>5</v>
      </c>
      <c r="B39" s="9"/>
      <c r="C39" s="9"/>
      <c r="D39" s="10" t="s">
        <v>29</v>
      </c>
      <c r="E39" s="9"/>
      <c r="F39" s="10" t="s">
        <v>30</v>
      </c>
      <c r="G39" s="9">
        <v>13</v>
      </c>
      <c r="H39" s="9" t="s">
        <v>21</v>
      </c>
      <c r="I39" s="322">
        <f t="shared" si="10"/>
        <v>3922.5663716814165</v>
      </c>
      <c r="J39" s="322">
        <f t="shared" si="11"/>
        <v>4000.3758407079654</v>
      </c>
      <c r="K39" s="322">
        <f t="shared" si="16"/>
        <v>4432.5</v>
      </c>
      <c r="L39" s="322">
        <f t="shared" si="17"/>
        <v>4520.4247000000005</v>
      </c>
      <c r="M39" s="32"/>
      <c r="N39" s="322">
        <f t="shared" si="12"/>
        <v>3922.5663716814165</v>
      </c>
      <c r="O39" s="322">
        <f t="shared" si="13"/>
        <v>3952.5882300884964</v>
      </c>
      <c r="P39" s="322">
        <f t="shared" si="18"/>
        <v>4432.5</v>
      </c>
      <c r="Q39" s="322">
        <f t="shared" si="19"/>
        <v>4466.4247000000005</v>
      </c>
      <c r="R39" s="328"/>
      <c r="S39" s="322">
        <f t="shared" si="14"/>
        <v>3922.5663716814165</v>
      </c>
      <c r="T39" s="322">
        <f t="shared" si="15"/>
        <v>3969.402389380532</v>
      </c>
      <c r="U39" s="322">
        <f t="shared" si="20"/>
        <v>4432.5</v>
      </c>
      <c r="V39" s="322">
        <f t="shared" si="21"/>
        <v>4485.4247000000005</v>
      </c>
      <c r="W39" s="328"/>
    </row>
    <row r="40" spans="1:23" ht="13.5" customHeight="1">
      <c r="A40" s="53">
        <v>6</v>
      </c>
      <c r="B40" s="9"/>
      <c r="C40" s="9"/>
      <c r="D40" s="10" t="s">
        <v>29</v>
      </c>
      <c r="E40" s="9"/>
      <c r="F40" s="10" t="s">
        <v>31</v>
      </c>
      <c r="G40" s="9">
        <v>13</v>
      </c>
      <c r="H40" s="9" t="s">
        <v>21</v>
      </c>
      <c r="I40" s="322">
        <f t="shared" si="10"/>
        <v>3825.2212389380534</v>
      </c>
      <c r="J40" s="322">
        <f t="shared" si="11"/>
        <v>3902.3006194690274</v>
      </c>
      <c r="K40" s="322">
        <f t="shared" si="16"/>
        <v>4322.5</v>
      </c>
      <c r="L40" s="322">
        <f t="shared" si="17"/>
        <v>4409.599700000001</v>
      </c>
      <c r="M40" s="32"/>
      <c r="N40" s="322">
        <f t="shared" si="12"/>
        <v>3825.2212389380534</v>
      </c>
      <c r="O40" s="322">
        <f t="shared" si="13"/>
        <v>3854.5130088495584</v>
      </c>
      <c r="P40" s="322">
        <f t="shared" si="18"/>
        <v>4322.5</v>
      </c>
      <c r="Q40" s="322">
        <f t="shared" si="19"/>
        <v>4355.599700000001</v>
      </c>
      <c r="R40" s="328"/>
      <c r="S40" s="322">
        <f t="shared" si="14"/>
        <v>3825.2212389380534</v>
      </c>
      <c r="T40" s="322">
        <f t="shared" si="15"/>
        <v>3871.327168141594</v>
      </c>
      <c r="U40" s="322">
        <f t="shared" si="20"/>
        <v>4322.5</v>
      </c>
      <c r="V40" s="322">
        <f t="shared" si="21"/>
        <v>4374.599700000001</v>
      </c>
      <c r="W40" s="328"/>
    </row>
    <row r="41" spans="1:23" ht="13.5" customHeight="1">
      <c r="A41" s="53">
        <v>7</v>
      </c>
      <c r="B41" s="9"/>
      <c r="C41" s="9"/>
      <c r="D41" s="10" t="s">
        <v>29</v>
      </c>
      <c r="E41" s="9"/>
      <c r="F41" s="10" t="s">
        <v>32</v>
      </c>
      <c r="G41" s="9">
        <v>13</v>
      </c>
      <c r="H41" s="9" t="s">
        <v>21</v>
      </c>
      <c r="I41" s="322">
        <f t="shared" si="10"/>
        <v>3780.973451327434</v>
      </c>
      <c r="J41" s="322">
        <f t="shared" si="11"/>
        <v>3857.7209734513285</v>
      </c>
      <c r="K41" s="322">
        <f t="shared" si="16"/>
        <v>4272.5</v>
      </c>
      <c r="L41" s="322">
        <f t="shared" si="17"/>
        <v>4359.224700000001</v>
      </c>
      <c r="M41" s="32"/>
      <c r="N41" s="322">
        <f t="shared" si="12"/>
        <v>3780.973451327434</v>
      </c>
      <c r="O41" s="322">
        <f t="shared" si="13"/>
        <v>3809.9333628318595</v>
      </c>
      <c r="P41" s="322">
        <f t="shared" si="18"/>
        <v>4272.5</v>
      </c>
      <c r="Q41" s="322">
        <f t="shared" si="19"/>
        <v>4305.224700000001</v>
      </c>
      <c r="R41" s="328"/>
      <c r="S41" s="322">
        <f t="shared" si="14"/>
        <v>3780.973451327434</v>
      </c>
      <c r="T41" s="322">
        <f t="shared" si="15"/>
        <v>3826.7475221238947</v>
      </c>
      <c r="U41" s="322">
        <f t="shared" si="20"/>
        <v>4272.5</v>
      </c>
      <c r="V41" s="322">
        <f t="shared" si="21"/>
        <v>4324.224700000001</v>
      </c>
      <c r="W41" s="328"/>
    </row>
    <row r="42" spans="1:23" ht="13.5" customHeight="1">
      <c r="A42" s="53">
        <v>8</v>
      </c>
      <c r="B42" s="9"/>
      <c r="C42" s="9"/>
      <c r="D42" s="10" t="s">
        <v>29</v>
      </c>
      <c r="E42" s="9"/>
      <c r="F42" s="10" t="s">
        <v>33</v>
      </c>
      <c r="G42" s="9">
        <v>13</v>
      </c>
      <c r="H42" s="9" t="s">
        <v>21</v>
      </c>
      <c r="I42" s="322">
        <f t="shared" si="10"/>
        <v>3834.0707964601775</v>
      </c>
      <c r="J42" s="322">
        <f t="shared" si="11"/>
        <v>3911.216548672567</v>
      </c>
      <c r="K42" s="322">
        <f t="shared" si="16"/>
        <v>4332.5</v>
      </c>
      <c r="L42" s="322">
        <f t="shared" si="17"/>
        <v>4419.6747000000005</v>
      </c>
      <c r="M42" s="32"/>
      <c r="N42" s="322">
        <f t="shared" si="12"/>
        <v>3834.0707964601775</v>
      </c>
      <c r="O42" s="322">
        <f t="shared" si="13"/>
        <v>3863.428938053098</v>
      </c>
      <c r="P42" s="322">
        <f t="shared" si="18"/>
        <v>4332.5</v>
      </c>
      <c r="Q42" s="322">
        <f t="shared" si="19"/>
        <v>4365.6747000000005</v>
      </c>
      <c r="R42" s="328"/>
      <c r="S42" s="322">
        <f t="shared" si="14"/>
        <v>3834.0707964601775</v>
      </c>
      <c r="T42" s="322">
        <f t="shared" si="15"/>
        <v>3880.2430973451337</v>
      </c>
      <c r="U42" s="322">
        <f t="shared" si="20"/>
        <v>4332.5</v>
      </c>
      <c r="V42" s="322">
        <f t="shared" si="21"/>
        <v>4384.6747000000005</v>
      </c>
      <c r="W42" s="328"/>
    </row>
    <row r="43" spans="1:23" s="104" customFormat="1" ht="27.75" customHeight="1">
      <c r="A43" s="53">
        <v>9</v>
      </c>
      <c r="B43" s="9"/>
      <c r="C43" s="6" t="s">
        <v>34</v>
      </c>
      <c r="D43" s="11" t="s">
        <v>35</v>
      </c>
      <c r="E43" s="9">
        <v>2003004</v>
      </c>
      <c r="F43" s="21" t="s">
        <v>127</v>
      </c>
      <c r="G43" s="9">
        <v>13</v>
      </c>
      <c r="H43" s="7" t="s">
        <v>21</v>
      </c>
      <c r="I43" s="318">
        <f t="shared" si="10"/>
        <v>3988.95575221239</v>
      </c>
      <c r="J43" s="318">
        <f t="shared" si="11"/>
        <v>4067.2631415929204</v>
      </c>
      <c r="K43" s="318">
        <f t="shared" si="16"/>
        <v>4507.52</v>
      </c>
      <c r="L43" s="318">
        <f t="shared" si="17"/>
        <v>4596.00735</v>
      </c>
      <c r="M43" s="33"/>
      <c r="N43" s="318">
        <f t="shared" si="12"/>
        <v>3988.95575221239</v>
      </c>
      <c r="O43" s="318">
        <f t="shared" si="13"/>
        <v>4019.4755309734514</v>
      </c>
      <c r="P43" s="318">
        <f t="shared" si="18"/>
        <v>4507.52</v>
      </c>
      <c r="Q43" s="318">
        <f t="shared" si="19"/>
        <v>4542.00735</v>
      </c>
      <c r="R43" s="113"/>
      <c r="S43" s="318">
        <f t="shared" si="14"/>
        <v>3988.95575221239</v>
      </c>
      <c r="T43" s="318">
        <f t="shared" si="15"/>
        <v>4036.289690265487</v>
      </c>
      <c r="U43" s="318">
        <f t="shared" si="20"/>
        <v>4507.52</v>
      </c>
      <c r="V43" s="318">
        <f t="shared" si="21"/>
        <v>4561.00735</v>
      </c>
      <c r="W43" s="113"/>
    </row>
    <row r="44" spans="1:23" ht="13.5" customHeight="1">
      <c r="A44" s="53">
        <v>10</v>
      </c>
      <c r="B44" s="9"/>
      <c r="C44" s="9"/>
      <c r="D44" s="10" t="s">
        <v>128</v>
      </c>
      <c r="E44" s="9"/>
      <c r="F44" s="13" t="s">
        <v>38</v>
      </c>
      <c r="G44" s="9">
        <v>13</v>
      </c>
      <c r="H44" s="9" t="s">
        <v>21</v>
      </c>
      <c r="I44" s="322">
        <f t="shared" si="10"/>
        <v>4020.3539823008855</v>
      </c>
      <c r="J44" s="322">
        <f t="shared" si="11"/>
        <v>4098.89685840708</v>
      </c>
      <c r="K44" s="322">
        <f t="shared" si="16"/>
        <v>4543</v>
      </c>
      <c r="L44" s="322">
        <f t="shared" si="17"/>
        <v>4631.75345</v>
      </c>
      <c r="M44" s="32"/>
      <c r="N44" s="322">
        <f t="shared" si="12"/>
        <v>4020.3539823008855</v>
      </c>
      <c r="O44" s="322">
        <f t="shared" si="13"/>
        <v>4051.1092477876114</v>
      </c>
      <c r="P44" s="322">
        <f t="shared" si="18"/>
        <v>4543</v>
      </c>
      <c r="Q44" s="322">
        <f t="shared" si="19"/>
        <v>4577.75345</v>
      </c>
      <c r="R44" s="328"/>
      <c r="S44" s="322">
        <f t="shared" si="14"/>
        <v>4020.3539823008855</v>
      </c>
      <c r="T44" s="322">
        <f t="shared" si="15"/>
        <v>4067.9234070796465</v>
      </c>
      <c r="U44" s="322">
        <f t="shared" si="20"/>
        <v>4543</v>
      </c>
      <c r="V44" s="322">
        <f t="shared" si="21"/>
        <v>4596.75345</v>
      </c>
      <c r="W44" s="328"/>
    </row>
    <row r="45" spans="1:23" ht="13.5" customHeight="1">
      <c r="A45" s="53">
        <v>11</v>
      </c>
      <c r="B45" s="9"/>
      <c r="C45" s="9"/>
      <c r="D45" s="10" t="s">
        <v>129</v>
      </c>
      <c r="E45" s="9"/>
      <c r="F45" s="13" t="s">
        <v>40</v>
      </c>
      <c r="G45" s="9">
        <v>13</v>
      </c>
      <c r="H45" s="9" t="s">
        <v>21</v>
      </c>
      <c r="I45" s="322">
        <f t="shared" si="10"/>
        <v>3976.106194690266</v>
      </c>
      <c r="J45" s="322">
        <f t="shared" si="11"/>
        <v>4054.317212389381</v>
      </c>
      <c r="K45" s="322">
        <f t="shared" si="16"/>
        <v>4493</v>
      </c>
      <c r="L45" s="322">
        <f t="shared" si="17"/>
        <v>4581.37845</v>
      </c>
      <c r="M45" s="32"/>
      <c r="N45" s="322">
        <f t="shared" si="12"/>
        <v>3976.106194690266</v>
      </c>
      <c r="O45" s="322">
        <f t="shared" si="13"/>
        <v>4006.529601769912</v>
      </c>
      <c r="P45" s="322">
        <f t="shared" si="18"/>
        <v>4493</v>
      </c>
      <c r="Q45" s="322">
        <f t="shared" si="19"/>
        <v>4527.37845</v>
      </c>
      <c r="R45" s="328"/>
      <c r="S45" s="322">
        <f t="shared" si="14"/>
        <v>3976.106194690266</v>
      </c>
      <c r="T45" s="322">
        <f t="shared" si="15"/>
        <v>4023.3437610619476</v>
      </c>
      <c r="U45" s="322">
        <f t="shared" si="20"/>
        <v>4493</v>
      </c>
      <c r="V45" s="322">
        <f t="shared" si="21"/>
        <v>4546.37845</v>
      </c>
      <c r="W45" s="328"/>
    </row>
    <row r="46" spans="1:23" ht="13.5" customHeight="1">
      <c r="A46" s="53">
        <v>12</v>
      </c>
      <c r="B46" s="9"/>
      <c r="C46" s="9"/>
      <c r="D46" s="10" t="s">
        <v>130</v>
      </c>
      <c r="E46" s="9"/>
      <c r="F46" s="13" t="s">
        <v>42</v>
      </c>
      <c r="G46" s="9">
        <v>13</v>
      </c>
      <c r="H46" s="9" t="s">
        <v>21</v>
      </c>
      <c r="I46" s="322">
        <f t="shared" si="10"/>
        <v>3991.1504424778764</v>
      </c>
      <c r="J46" s="322">
        <f t="shared" si="11"/>
        <v>4069.4742920353992</v>
      </c>
      <c r="K46" s="322">
        <f t="shared" si="16"/>
        <v>4510</v>
      </c>
      <c r="L46" s="322">
        <f t="shared" si="17"/>
        <v>4598.505950000001</v>
      </c>
      <c r="M46" s="32"/>
      <c r="N46" s="322">
        <f t="shared" si="12"/>
        <v>3991.1504424778764</v>
      </c>
      <c r="O46" s="322">
        <f t="shared" si="13"/>
        <v>4021.6866814159303</v>
      </c>
      <c r="P46" s="322">
        <f t="shared" si="18"/>
        <v>4510</v>
      </c>
      <c r="Q46" s="322">
        <f t="shared" si="19"/>
        <v>4544.505950000001</v>
      </c>
      <c r="R46" s="328"/>
      <c r="S46" s="322">
        <f t="shared" si="14"/>
        <v>3991.1504424778764</v>
      </c>
      <c r="T46" s="322">
        <f t="shared" si="15"/>
        <v>4038.5008407079654</v>
      </c>
      <c r="U46" s="322">
        <f t="shared" si="20"/>
        <v>4510</v>
      </c>
      <c r="V46" s="322">
        <f t="shared" si="21"/>
        <v>4563.505950000001</v>
      </c>
      <c r="W46" s="328"/>
    </row>
    <row r="47" spans="1:23" ht="13.5" customHeight="1">
      <c r="A47" s="53">
        <v>13</v>
      </c>
      <c r="B47" s="9"/>
      <c r="C47" s="59" t="s">
        <v>131</v>
      </c>
      <c r="D47" s="198"/>
      <c r="E47" s="9">
        <v>2003005</v>
      </c>
      <c r="F47" s="13" t="s">
        <v>44</v>
      </c>
      <c r="G47" s="9">
        <v>13</v>
      </c>
      <c r="H47" s="9" t="s">
        <v>21</v>
      </c>
      <c r="I47" s="322">
        <f t="shared" si="10"/>
        <v>4122.12389380531</v>
      </c>
      <c r="J47" s="322">
        <f t="shared" si="11"/>
        <v>4201.430044247788</v>
      </c>
      <c r="K47" s="322">
        <f t="shared" si="16"/>
        <v>4658</v>
      </c>
      <c r="L47" s="322">
        <f t="shared" si="17"/>
        <v>4747.61595</v>
      </c>
      <c r="M47" s="32"/>
      <c r="N47" s="322">
        <f t="shared" si="12"/>
        <v>4122.12389380531</v>
      </c>
      <c r="O47" s="322">
        <f t="shared" si="13"/>
        <v>4153.642433628319</v>
      </c>
      <c r="P47" s="322">
        <f t="shared" si="18"/>
        <v>4658</v>
      </c>
      <c r="Q47" s="322">
        <f t="shared" si="19"/>
        <v>4693.61595</v>
      </c>
      <c r="R47" s="328"/>
      <c r="S47" s="322">
        <f t="shared" si="14"/>
        <v>4122.12389380531</v>
      </c>
      <c r="T47" s="322">
        <f t="shared" si="15"/>
        <v>4170.4565929203545</v>
      </c>
      <c r="U47" s="322">
        <f t="shared" si="20"/>
        <v>4658</v>
      </c>
      <c r="V47" s="322">
        <f t="shared" si="21"/>
        <v>4712.61595</v>
      </c>
      <c r="W47" s="328"/>
    </row>
    <row r="48" spans="1:23" s="104" customFormat="1" ht="27.75" customHeight="1">
      <c r="A48" s="53">
        <v>14</v>
      </c>
      <c r="B48" s="9"/>
      <c r="C48" s="6" t="s">
        <v>45</v>
      </c>
      <c r="D48" s="11" t="s">
        <v>46</v>
      </c>
      <c r="E48" s="25"/>
      <c r="F48" s="21" t="s">
        <v>47</v>
      </c>
      <c r="G48" s="9">
        <v>13</v>
      </c>
      <c r="H48" s="7" t="s">
        <v>21</v>
      </c>
      <c r="I48" s="318">
        <f t="shared" si="10"/>
        <v>4519.29203539823</v>
      </c>
      <c r="J48" s="318">
        <f t="shared" si="11"/>
        <v>4601.576946902655</v>
      </c>
      <c r="K48" s="318">
        <f t="shared" si="16"/>
        <v>5106.799999999999</v>
      </c>
      <c r="L48" s="318">
        <f t="shared" si="17"/>
        <v>5199.7819500000005</v>
      </c>
      <c r="M48" s="157"/>
      <c r="N48" s="318">
        <f t="shared" si="12"/>
        <v>4519.29203539823</v>
      </c>
      <c r="O48" s="318">
        <f t="shared" si="13"/>
        <v>4553.7893362831865</v>
      </c>
      <c r="P48" s="318">
        <f t="shared" si="18"/>
        <v>5106.799999999999</v>
      </c>
      <c r="Q48" s="318">
        <f t="shared" si="19"/>
        <v>5145.7819500000005</v>
      </c>
      <c r="R48" s="157"/>
      <c r="S48" s="318">
        <f t="shared" si="14"/>
        <v>4519.29203539823</v>
      </c>
      <c r="T48" s="318">
        <f t="shared" si="15"/>
        <v>4570.603495575222</v>
      </c>
      <c r="U48" s="318">
        <f t="shared" si="20"/>
        <v>5106.799999999999</v>
      </c>
      <c r="V48" s="318">
        <f t="shared" si="21"/>
        <v>5164.7819500000005</v>
      </c>
      <c r="W48" s="157"/>
    </row>
    <row r="49" spans="1:23" ht="13.5" customHeight="1">
      <c r="A49" s="53">
        <v>15</v>
      </c>
      <c r="B49" s="9"/>
      <c r="C49" s="9"/>
      <c r="D49" s="10" t="s">
        <v>48</v>
      </c>
      <c r="E49" s="25"/>
      <c r="F49" s="10" t="s">
        <v>49</v>
      </c>
      <c r="G49" s="9">
        <v>13</v>
      </c>
      <c r="H49" s="9" t="s">
        <v>21</v>
      </c>
      <c r="I49" s="322">
        <f t="shared" si="10"/>
        <v>4197.345132743363</v>
      </c>
      <c r="J49" s="322">
        <f t="shared" si="11"/>
        <v>4277.215442477876</v>
      </c>
      <c r="K49" s="322">
        <f t="shared" si="16"/>
        <v>4743</v>
      </c>
      <c r="L49" s="322">
        <f t="shared" si="17"/>
        <v>4833.25345</v>
      </c>
      <c r="M49" s="31"/>
      <c r="N49" s="322">
        <f t="shared" si="12"/>
        <v>4197.345132743363</v>
      </c>
      <c r="O49" s="322">
        <f t="shared" si="13"/>
        <v>4229.427831858407</v>
      </c>
      <c r="P49" s="322">
        <f t="shared" si="18"/>
        <v>4743</v>
      </c>
      <c r="Q49" s="322">
        <f t="shared" si="19"/>
        <v>4779.25345</v>
      </c>
      <c r="R49" s="328"/>
      <c r="S49" s="322">
        <f t="shared" si="14"/>
        <v>4197.345132743363</v>
      </c>
      <c r="T49" s="322">
        <f t="shared" si="15"/>
        <v>4246.241991150443</v>
      </c>
      <c r="U49" s="322">
        <f t="shared" si="20"/>
        <v>4743</v>
      </c>
      <c r="V49" s="322">
        <f t="shared" si="21"/>
        <v>4798.25345</v>
      </c>
      <c r="W49" s="328"/>
    </row>
    <row r="50" spans="1:23" ht="13.5" customHeight="1">
      <c r="A50" s="53">
        <v>16</v>
      </c>
      <c r="B50" s="9"/>
      <c r="C50" s="9"/>
      <c r="D50" s="10" t="s">
        <v>50</v>
      </c>
      <c r="E50" s="25">
        <v>2003009</v>
      </c>
      <c r="F50" s="10" t="s">
        <v>51</v>
      </c>
      <c r="G50" s="9">
        <v>13</v>
      </c>
      <c r="H50" s="9" t="s">
        <v>21</v>
      </c>
      <c r="I50" s="322">
        <f t="shared" si="10"/>
        <v>4738.938053097346</v>
      </c>
      <c r="J50" s="322">
        <f t="shared" si="11"/>
        <v>4822.870309734514</v>
      </c>
      <c r="K50" s="322">
        <f t="shared" si="16"/>
        <v>5355</v>
      </c>
      <c r="L50" s="322">
        <f t="shared" si="17"/>
        <v>5449.84345</v>
      </c>
      <c r="M50" s="31"/>
      <c r="N50" s="322">
        <f t="shared" si="12"/>
        <v>4738.938053097346</v>
      </c>
      <c r="O50" s="322">
        <f t="shared" si="13"/>
        <v>4775.082699115045</v>
      </c>
      <c r="P50" s="322">
        <f t="shared" si="18"/>
        <v>5355</v>
      </c>
      <c r="Q50" s="322">
        <f t="shared" si="19"/>
        <v>5395.84345</v>
      </c>
      <c r="R50" s="328"/>
      <c r="S50" s="322">
        <f t="shared" si="14"/>
        <v>4738.938053097346</v>
      </c>
      <c r="T50" s="322">
        <f t="shared" si="15"/>
        <v>4791.896858407081</v>
      </c>
      <c r="U50" s="322">
        <f t="shared" si="20"/>
        <v>5355</v>
      </c>
      <c r="V50" s="322">
        <f t="shared" si="21"/>
        <v>5414.84345</v>
      </c>
      <c r="W50" s="328"/>
    </row>
    <row r="51" spans="1:23" ht="13.5" customHeight="1">
      <c r="A51" s="53">
        <v>17</v>
      </c>
      <c r="B51" s="9"/>
      <c r="C51" s="9"/>
      <c r="D51" s="10" t="s">
        <v>52</v>
      </c>
      <c r="E51" s="25">
        <v>2003008</v>
      </c>
      <c r="F51" s="10" t="s">
        <v>53</v>
      </c>
      <c r="G51" s="9">
        <v>13</v>
      </c>
      <c r="H51" s="9" t="s">
        <v>21</v>
      </c>
      <c r="I51" s="322">
        <f t="shared" si="10"/>
        <v>5265.486725663717</v>
      </c>
      <c r="J51" s="322">
        <f t="shared" si="11"/>
        <v>5353.368097345134</v>
      </c>
      <c r="K51" s="322">
        <f t="shared" si="16"/>
        <v>5950</v>
      </c>
      <c r="L51" s="322">
        <f t="shared" si="17"/>
        <v>6049.305950000001</v>
      </c>
      <c r="M51" s="32"/>
      <c r="N51" s="322">
        <f t="shared" si="12"/>
        <v>5265.486725663717</v>
      </c>
      <c r="O51" s="322">
        <f t="shared" si="13"/>
        <v>5305.580486725665</v>
      </c>
      <c r="P51" s="322">
        <f t="shared" si="18"/>
        <v>5950</v>
      </c>
      <c r="Q51" s="322">
        <f t="shared" si="19"/>
        <v>5995.305950000001</v>
      </c>
      <c r="R51" s="328"/>
      <c r="S51" s="322">
        <f t="shared" si="14"/>
        <v>5265.486725663717</v>
      </c>
      <c r="T51" s="322">
        <f t="shared" si="15"/>
        <v>5322.3946460177</v>
      </c>
      <c r="U51" s="322">
        <f t="shared" si="20"/>
        <v>5950</v>
      </c>
      <c r="V51" s="322">
        <f t="shared" si="21"/>
        <v>6014.305950000001</v>
      </c>
      <c r="W51" s="328"/>
    </row>
    <row r="52" spans="1:23" ht="13.5" customHeight="1">
      <c r="A52" s="53">
        <v>18</v>
      </c>
      <c r="B52" s="9"/>
      <c r="C52" s="10" t="s">
        <v>54</v>
      </c>
      <c r="D52" s="13"/>
      <c r="E52" s="9">
        <v>2001006</v>
      </c>
      <c r="F52" s="13"/>
      <c r="G52" s="9">
        <v>13</v>
      </c>
      <c r="H52" s="9" t="s">
        <v>21</v>
      </c>
      <c r="I52" s="322">
        <f t="shared" si="10"/>
        <v>5433.628318584071</v>
      </c>
      <c r="J52" s="322">
        <f t="shared" si="11"/>
        <v>5522.77075221239</v>
      </c>
      <c r="K52" s="322">
        <f t="shared" si="16"/>
        <v>6140</v>
      </c>
      <c r="L52" s="322">
        <f t="shared" si="17"/>
        <v>6240.73095</v>
      </c>
      <c r="M52" s="113"/>
      <c r="N52" s="322">
        <f t="shared" si="12"/>
        <v>5433.628318584071</v>
      </c>
      <c r="O52" s="322">
        <f t="shared" si="13"/>
        <v>5474.983141592921</v>
      </c>
      <c r="P52" s="322">
        <f t="shared" si="18"/>
        <v>6140</v>
      </c>
      <c r="Q52" s="322">
        <f t="shared" si="19"/>
        <v>6186.73095</v>
      </c>
      <c r="R52" s="328"/>
      <c r="S52" s="322">
        <f t="shared" si="14"/>
        <v>5433.628318584071</v>
      </c>
      <c r="T52" s="322">
        <f t="shared" si="15"/>
        <v>5491.797300884957</v>
      </c>
      <c r="U52" s="322">
        <f t="shared" si="20"/>
        <v>6140</v>
      </c>
      <c r="V52" s="322">
        <f t="shared" si="21"/>
        <v>6205.73095</v>
      </c>
      <c r="W52" s="328"/>
    </row>
    <row r="53" spans="1:23" ht="13.5" customHeight="1">
      <c r="A53" s="53">
        <v>19</v>
      </c>
      <c r="B53" s="9"/>
      <c r="C53" s="10" t="s">
        <v>55</v>
      </c>
      <c r="D53" s="13"/>
      <c r="E53" s="9">
        <v>2001008</v>
      </c>
      <c r="F53" s="10" t="s">
        <v>56</v>
      </c>
      <c r="G53" s="9">
        <v>13</v>
      </c>
      <c r="H53" s="9" t="s">
        <v>21</v>
      </c>
      <c r="I53" s="322">
        <f t="shared" si="10"/>
        <v>5079.646017699116</v>
      </c>
      <c r="J53" s="322">
        <f t="shared" si="11"/>
        <v>5166.133584070797</v>
      </c>
      <c r="K53" s="322">
        <f t="shared" si="16"/>
        <v>5740</v>
      </c>
      <c r="L53" s="322">
        <f t="shared" si="17"/>
        <v>5837.73095</v>
      </c>
      <c r="M53" s="325"/>
      <c r="N53" s="322">
        <f t="shared" si="12"/>
        <v>5079.646017699116</v>
      </c>
      <c r="O53" s="322">
        <f t="shared" si="13"/>
        <v>5118.345973451328</v>
      </c>
      <c r="P53" s="322">
        <f t="shared" si="18"/>
        <v>5740</v>
      </c>
      <c r="Q53" s="322">
        <f t="shared" si="19"/>
        <v>5783.73095</v>
      </c>
      <c r="R53" s="328"/>
      <c r="S53" s="322">
        <f t="shared" si="14"/>
        <v>5079.646017699116</v>
      </c>
      <c r="T53" s="322">
        <f t="shared" si="15"/>
        <v>5135.160132743364</v>
      </c>
      <c r="U53" s="322">
        <f t="shared" si="20"/>
        <v>5740</v>
      </c>
      <c r="V53" s="322">
        <f t="shared" si="21"/>
        <v>5802.73095</v>
      </c>
      <c r="W53" s="328"/>
    </row>
    <row r="54" spans="1:23" s="104" customFormat="1" ht="27.75" customHeight="1">
      <c r="A54" s="53">
        <v>20</v>
      </c>
      <c r="B54" s="6" t="s">
        <v>57</v>
      </c>
      <c r="C54" s="11" t="s">
        <v>58</v>
      </c>
      <c r="D54" s="14"/>
      <c r="E54" s="7"/>
      <c r="F54" s="21" t="s">
        <v>135</v>
      </c>
      <c r="G54" s="9">
        <v>13</v>
      </c>
      <c r="H54" s="7" t="s">
        <v>21</v>
      </c>
      <c r="I54" s="157">
        <f>I55*0.1+I56*0.6+I57*0.3</f>
        <v>482.3008849557522</v>
      </c>
      <c r="J54" s="157">
        <f>J55*0.1+J56*0.6+J57*0.3</f>
        <v>504.1635777061947</v>
      </c>
      <c r="K54" s="157">
        <f>K55*0.1+K56*0.6+K57*0.3</f>
        <v>545</v>
      </c>
      <c r="L54" s="157">
        <f>L55*0.1+L56*0.6+L57*0.3</f>
        <v>568.773723</v>
      </c>
      <c r="M54" s="157"/>
      <c r="N54" s="157">
        <f>N55*0.1+N56*0.6+N57*0.3</f>
        <v>469.02654867256643</v>
      </c>
      <c r="O54" s="157">
        <f>O55*0.1+O56*0.6+O57*0.3</f>
        <v>490.5419847858408</v>
      </c>
      <c r="P54" s="157">
        <f>P55*0.1+P56*0.6+P57*0.3</f>
        <v>530</v>
      </c>
      <c r="Q54" s="157">
        <f>Q55*0.1+Q56*0.6+Q57*0.3</f>
        <v>553.3964729999999</v>
      </c>
      <c r="R54" s="157"/>
      <c r="S54" s="157">
        <f>S55*0.1+S56*0.6+S57*0.3</f>
        <v>469.02654867256643</v>
      </c>
      <c r="T54" s="157">
        <f>T55*0.1+T56*0.6+T57*0.3</f>
        <v>490.5419847858408</v>
      </c>
      <c r="U54" s="157">
        <f>U55*0.1+U56*0.6+U57*0.3</f>
        <v>530</v>
      </c>
      <c r="V54" s="157">
        <f>V55*0.1+V56*0.6+V57*0.3</f>
        <v>553.3964729999999</v>
      </c>
      <c r="W54" s="157"/>
    </row>
    <row r="55" spans="1:23" ht="13.5" customHeight="1">
      <c r="A55" s="53">
        <v>22</v>
      </c>
      <c r="B55" s="9"/>
      <c r="C55" s="13" t="s">
        <v>60</v>
      </c>
      <c r="D55" s="13"/>
      <c r="E55" s="9"/>
      <c r="F55" s="10" t="s">
        <v>62</v>
      </c>
      <c r="G55" s="9">
        <v>13</v>
      </c>
      <c r="H55" s="9" t="s">
        <v>21</v>
      </c>
      <c r="I55" s="23">
        <f>K55/1.13</f>
        <v>429.2035398230089</v>
      </c>
      <c r="J55" s="23">
        <f>(I55+9.01)*1.016*1.01</f>
        <v>449.67720602477885</v>
      </c>
      <c r="K55" s="23">
        <f>K26+15</f>
        <v>485</v>
      </c>
      <c r="L55" s="23">
        <f>(K55+9.82)*1.015*1.01</f>
        <v>507.26472299999995</v>
      </c>
      <c r="M55" s="327"/>
      <c r="N55" s="23">
        <f>P55/1.13</f>
        <v>415.92920353982305</v>
      </c>
      <c r="O55" s="23">
        <f>(N55+9.01)*1.016*1.01</f>
        <v>436.0556131044248</v>
      </c>
      <c r="P55" s="327">
        <f>K26</f>
        <v>470</v>
      </c>
      <c r="Q55" s="23">
        <f>(P55+9.82)*1.015*1.01</f>
        <v>491.88747299999994</v>
      </c>
      <c r="R55" s="327"/>
      <c r="S55" s="23">
        <f>U55/1.13</f>
        <v>415.92920353982305</v>
      </c>
      <c r="T55" s="23">
        <f>(S55+9.01)*1.016*1.01</f>
        <v>436.0556131044248</v>
      </c>
      <c r="U55" s="327">
        <f>K26</f>
        <v>470</v>
      </c>
      <c r="V55" s="23">
        <f>(U55+9.82)*1.015*1.01</f>
        <v>491.88747299999994</v>
      </c>
      <c r="W55" s="150"/>
    </row>
    <row r="56" spans="1:23" ht="13.5" customHeight="1">
      <c r="A56" s="53">
        <v>24</v>
      </c>
      <c r="B56" s="9"/>
      <c r="C56" s="13" t="s">
        <v>63</v>
      </c>
      <c r="D56" s="13"/>
      <c r="E56" s="9"/>
      <c r="F56" s="10" t="s">
        <v>62</v>
      </c>
      <c r="G56" s="9">
        <v>13</v>
      </c>
      <c r="H56" s="9" t="s">
        <v>21</v>
      </c>
      <c r="I56" s="23">
        <f>K56/1.13</f>
        <v>473.45132743362836</v>
      </c>
      <c r="J56" s="23">
        <f>(I56+9.01)*1.016*1.01</f>
        <v>495.0825157592921</v>
      </c>
      <c r="K56" s="23">
        <f>K27+15</f>
        <v>535</v>
      </c>
      <c r="L56" s="23">
        <f>(K56+9.82)*1.015*1.01</f>
        <v>558.522223</v>
      </c>
      <c r="M56" s="327"/>
      <c r="N56" s="23">
        <f>P56/1.13</f>
        <v>460.1769911504425</v>
      </c>
      <c r="O56" s="23">
        <f>(N56+9.01)*1.016*1.01</f>
        <v>481.46092283893813</v>
      </c>
      <c r="P56" s="327">
        <f>K27</f>
        <v>520</v>
      </c>
      <c r="Q56" s="23">
        <f>(P56+9.82)*1.015*1.01</f>
        <v>543.1449729999999</v>
      </c>
      <c r="R56" s="327"/>
      <c r="S56" s="23">
        <f>U56/1.13</f>
        <v>460.1769911504425</v>
      </c>
      <c r="T56" s="23">
        <f>(S56+9.01)*1.016*1.01</f>
        <v>481.46092283893813</v>
      </c>
      <c r="U56" s="327">
        <f>K27</f>
        <v>520</v>
      </c>
      <c r="V56" s="23">
        <f>(U56+9.82)*1.015*1.01</f>
        <v>543.1449729999999</v>
      </c>
      <c r="W56" s="150"/>
    </row>
    <row r="57" spans="1:23" ht="13.5" customHeight="1">
      <c r="A57" s="53">
        <v>26</v>
      </c>
      <c r="B57" s="9"/>
      <c r="C57" s="13" t="s">
        <v>136</v>
      </c>
      <c r="D57" s="13"/>
      <c r="E57" s="9"/>
      <c r="F57" s="10" t="s">
        <v>62</v>
      </c>
      <c r="G57" s="9">
        <v>13</v>
      </c>
      <c r="H57" s="9" t="s">
        <v>21</v>
      </c>
      <c r="I57" s="23">
        <f>K57/1.13</f>
        <v>517.6991150442478</v>
      </c>
      <c r="J57" s="23">
        <f>(I57+9.01)*1.016*1.01</f>
        <v>540.4878254938053</v>
      </c>
      <c r="K57" s="23">
        <f>K28+15</f>
        <v>585</v>
      </c>
      <c r="L57" s="23">
        <f>(K57+9.82)*1.015*1.01</f>
        <v>609.779723</v>
      </c>
      <c r="M57" s="327"/>
      <c r="N57" s="23">
        <f>P57/1.13</f>
        <v>504.424778761062</v>
      </c>
      <c r="O57" s="23">
        <f>(N57+9.01)*1.016*1.01</f>
        <v>526.8662325734514</v>
      </c>
      <c r="P57" s="327">
        <f>K28</f>
        <v>570</v>
      </c>
      <c r="Q57" s="23">
        <f>(P57+9.82)*1.015*1.01</f>
        <v>594.402473</v>
      </c>
      <c r="R57" s="327"/>
      <c r="S57" s="23">
        <f>U57/1.13</f>
        <v>504.424778761062</v>
      </c>
      <c r="T57" s="23">
        <f>(S57+9.01)*1.016*1.01</f>
        <v>526.8662325734514</v>
      </c>
      <c r="U57" s="327">
        <f>K28</f>
        <v>570</v>
      </c>
      <c r="V57" s="23">
        <f>(U57+9.82)*1.015*1.01</f>
        <v>594.402473</v>
      </c>
      <c r="W57" s="150"/>
    </row>
    <row r="58" spans="1:23" ht="21.75">
      <c r="A58" s="4" t="str">
        <f>A1</f>
        <v>2023年4月份温州市交通建设工程钢材和水泥价格信息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7" ht="13.5" customHeight="1">
      <c r="A60" s="6" t="s">
        <v>2</v>
      </c>
      <c r="B60" s="6" t="s">
        <v>3</v>
      </c>
      <c r="C60" s="6" t="s">
        <v>4</v>
      </c>
      <c r="D60" s="9"/>
      <c r="E60" s="6" t="s">
        <v>5</v>
      </c>
      <c r="F60" s="6" t="s">
        <v>6</v>
      </c>
      <c r="G60" s="20" t="s">
        <v>119</v>
      </c>
      <c r="H60" s="6" t="s">
        <v>7</v>
      </c>
      <c r="I60" s="54" t="s">
        <v>140</v>
      </c>
      <c r="J60" s="316"/>
      <c r="K60" s="316"/>
      <c r="L60" s="316"/>
      <c r="M60" s="317"/>
      <c r="N60" s="54" t="s">
        <v>141</v>
      </c>
      <c r="O60" s="316"/>
      <c r="P60" s="316"/>
      <c r="Q60" s="316"/>
      <c r="R60" s="317"/>
      <c r="S60" s="20" t="s">
        <v>142</v>
      </c>
      <c r="T60" s="9"/>
      <c r="U60" s="9"/>
      <c r="V60" s="9"/>
      <c r="W60" s="9"/>
      <c r="X60" s="333"/>
      <c r="Y60" s="333"/>
      <c r="Z60" s="333"/>
      <c r="AA60" s="333"/>
    </row>
    <row r="61" spans="1:27" ht="12.75">
      <c r="A61" s="6"/>
      <c r="B61" s="6"/>
      <c r="C61" s="6"/>
      <c r="D61" s="9"/>
      <c r="E61" s="6"/>
      <c r="F61" s="6"/>
      <c r="G61" s="20"/>
      <c r="H61" s="6"/>
      <c r="I61" s="54" t="s">
        <v>123</v>
      </c>
      <c r="J61" s="317"/>
      <c r="K61" s="54" t="s">
        <v>124</v>
      </c>
      <c r="L61" s="317"/>
      <c r="M61" s="129" t="s">
        <v>88</v>
      </c>
      <c r="N61" s="54" t="s">
        <v>123</v>
      </c>
      <c r="O61" s="317"/>
      <c r="P61" s="54" t="s">
        <v>124</v>
      </c>
      <c r="Q61" s="317"/>
      <c r="R61" s="129" t="s">
        <v>88</v>
      </c>
      <c r="S61" s="54" t="s">
        <v>123</v>
      </c>
      <c r="T61" s="317"/>
      <c r="U61" s="54" t="s">
        <v>124</v>
      </c>
      <c r="V61" s="317"/>
      <c r="W61" s="129" t="s">
        <v>88</v>
      </c>
      <c r="X61" s="333"/>
      <c r="Y61" s="333"/>
      <c r="Z61" s="333"/>
      <c r="AA61" s="333"/>
    </row>
    <row r="62" spans="1:27" ht="25.5" customHeight="1">
      <c r="A62" s="9"/>
      <c r="B62" s="9"/>
      <c r="C62" s="9"/>
      <c r="D62" s="9"/>
      <c r="E62" s="9"/>
      <c r="F62" s="9"/>
      <c r="G62" s="20"/>
      <c r="H62" s="9"/>
      <c r="I62" s="6" t="s">
        <v>14</v>
      </c>
      <c r="J62" s="6" t="s">
        <v>15</v>
      </c>
      <c r="K62" s="6" t="s">
        <v>14</v>
      </c>
      <c r="L62" s="6" t="s">
        <v>15</v>
      </c>
      <c r="M62" s="323"/>
      <c r="N62" s="6" t="s">
        <v>14</v>
      </c>
      <c r="O62" s="6" t="s">
        <v>15</v>
      </c>
      <c r="P62" s="6" t="s">
        <v>14</v>
      </c>
      <c r="Q62" s="6" t="s">
        <v>15</v>
      </c>
      <c r="R62" s="323"/>
      <c r="S62" s="6" t="s">
        <v>14</v>
      </c>
      <c r="T62" s="6" t="s">
        <v>15</v>
      </c>
      <c r="U62" s="6" t="s">
        <v>14</v>
      </c>
      <c r="V62" s="6" t="s">
        <v>15</v>
      </c>
      <c r="W62" s="323"/>
      <c r="X62" s="205"/>
      <c r="Y62" s="205"/>
      <c r="Z62" s="205"/>
      <c r="AA62" s="205"/>
    </row>
    <row r="63" spans="1:27" ht="27.75" customHeight="1">
      <c r="A63" s="53">
        <v>1</v>
      </c>
      <c r="B63" s="6" t="s">
        <v>16</v>
      </c>
      <c r="C63" s="6" t="s">
        <v>17</v>
      </c>
      <c r="D63" s="8" t="s">
        <v>18</v>
      </c>
      <c r="E63" s="9" t="s">
        <v>126</v>
      </c>
      <c r="F63" s="21" t="s">
        <v>20</v>
      </c>
      <c r="G63" s="9">
        <v>13</v>
      </c>
      <c r="H63" s="52" t="s">
        <v>21</v>
      </c>
      <c r="I63" s="318">
        <f aca="true" t="shared" si="22" ref="I63:I81">K63/(1+0.01*G6)</f>
        <v>4146.017699115045</v>
      </c>
      <c r="J63" s="318">
        <f aca="true" t="shared" si="23" ref="J63:J81">L63/(1+0.01*G6)</f>
        <v>4246.741991150443</v>
      </c>
      <c r="K63" s="318">
        <f>K6</f>
        <v>4685</v>
      </c>
      <c r="L63" s="318">
        <f>L6+49</f>
        <v>4798.818450000001</v>
      </c>
      <c r="M63" s="154"/>
      <c r="N63" s="318">
        <f aca="true" t="shared" si="24" ref="N63:N81">P63/(1+0.01*G6)</f>
        <v>4146.017699115045</v>
      </c>
      <c r="O63" s="318">
        <f aca="true" t="shared" si="25" ref="O63:O81">Q63/(1+0.01*G6)</f>
        <v>4238.7773893805315</v>
      </c>
      <c r="P63" s="318">
        <f>K6</f>
        <v>4685</v>
      </c>
      <c r="Q63" s="318">
        <f>L6+40</f>
        <v>4789.818450000001</v>
      </c>
      <c r="R63" s="322"/>
      <c r="S63" s="318">
        <f aca="true" t="shared" si="26" ref="S63:S81">U63/(1+0.01*G6)</f>
        <v>4146.017699115045</v>
      </c>
      <c r="T63" s="318">
        <f aca="true" t="shared" si="27" ref="T63:T81">V63/(1+0.01*G6)</f>
        <v>4238.7773893805315</v>
      </c>
      <c r="U63" s="318">
        <f>K6</f>
        <v>4685</v>
      </c>
      <c r="V63" s="318">
        <f>L6+40</f>
        <v>4789.818450000001</v>
      </c>
      <c r="W63" s="322"/>
      <c r="X63" s="334"/>
      <c r="Y63" s="334"/>
      <c r="Z63" s="334"/>
      <c r="AA63" s="334"/>
    </row>
    <row r="64" spans="1:27" ht="25.5">
      <c r="A64" s="53">
        <v>2</v>
      </c>
      <c r="B64" s="9"/>
      <c r="C64" s="9"/>
      <c r="D64" s="10" t="s">
        <v>22</v>
      </c>
      <c r="E64" s="9"/>
      <c r="F64" s="10" t="s">
        <v>23</v>
      </c>
      <c r="G64" s="9">
        <v>13</v>
      </c>
      <c r="H64" s="9" t="s">
        <v>21</v>
      </c>
      <c r="I64" s="322">
        <f t="shared" si="22"/>
        <v>4163.716814159293</v>
      </c>
      <c r="J64" s="322">
        <f t="shared" si="23"/>
        <v>4264.573849557522</v>
      </c>
      <c r="K64" s="322">
        <f aca="true" t="shared" si="28" ref="K64:K81">K7</f>
        <v>4705</v>
      </c>
      <c r="L64" s="322">
        <f aca="true" t="shared" si="29" ref="L64:L81">L7+49</f>
        <v>4818.96845</v>
      </c>
      <c r="M64" s="32"/>
      <c r="N64" s="322">
        <f t="shared" si="24"/>
        <v>4163.716814159293</v>
      </c>
      <c r="O64" s="322">
        <f t="shared" si="25"/>
        <v>4256.609247787611</v>
      </c>
      <c r="P64" s="322">
        <f aca="true" t="shared" si="30" ref="P64:P81">K7</f>
        <v>4705</v>
      </c>
      <c r="Q64" s="322">
        <f aca="true" t="shared" si="31" ref="Q64:Q81">L7+40</f>
        <v>4809.96845</v>
      </c>
      <c r="R64" s="328"/>
      <c r="S64" s="322">
        <f t="shared" si="26"/>
        <v>4163.716814159293</v>
      </c>
      <c r="T64" s="322">
        <f t="shared" si="27"/>
        <v>4256.609247787611</v>
      </c>
      <c r="U64" s="322">
        <f aca="true" t="shared" si="32" ref="U64:U81">K7</f>
        <v>4705</v>
      </c>
      <c r="V64" s="322">
        <f aca="true" t="shared" si="33" ref="V64:V81">L7+40</f>
        <v>4809.96845</v>
      </c>
      <c r="W64" s="328"/>
      <c r="X64" s="209"/>
      <c r="Y64" s="209"/>
      <c r="Z64" s="209"/>
      <c r="AA64" s="209"/>
    </row>
    <row r="65" spans="1:27" ht="12.75">
      <c r="A65" s="53">
        <v>3</v>
      </c>
      <c r="B65" s="9"/>
      <c r="C65" s="9"/>
      <c r="D65" s="10" t="s">
        <v>24</v>
      </c>
      <c r="E65" s="9"/>
      <c r="F65" s="10" t="s">
        <v>25</v>
      </c>
      <c r="G65" s="9">
        <v>13</v>
      </c>
      <c r="H65" s="9" t="s">
        <v>21</v>
      </c>
      <c r="I65" s="322">
        <f t="shared" si="22"/>
        <v>4075.2212389380534</v>
      </c>
      <c r="J65" s="322">
        <f t="shared" si="23"/>
        <v>4175.414557522125</v>
      </c>
      <c r="K65" s="322">
        <f t="shared" si="28"/>
        <v>4605</v>
      </c>
      <c r="L65" s="322">
        <f t="shared" si="29"/>
        <v>4718.21845</v>
      </c>
      <c r="M65" s="32"/>
      <c r="N65" s="322">
        <f t="shared" si="24"/>
        <v>4075.2212389380534</v>
      </c>
      <c r="O65" s="322">
        <f t="shared" si="25"/>
        <v>4167.449955752213</v>
      </c>
      <c r="P65" s="322">
        <f t="shared" si="30"/>
        <v>4605</v>
      </c>
      <c r="Q65" s="322">
        <f t="shared" si="31"/>
        <v>4709.21845</v>
      </c>
      <c r="R65" s="328"/>
      <c r="S65" s="322">
        <f t="shared" si="26"/>
        <v>4075.2212389380534</v>
      </c>
      <c r="T65" s="322">
        <f t="shared" si="27"/>
        <v>4167.449955752213</v>
      </c>
      <c r="U65" s="322">
        <f t="shared" si="32"/>
        <v>4605</v>
      </c>
      <c r="V65" s="322">
        <f t="shared" si="33"/>
        <v>4709.21845</v>
      </c>
      <c r="W65" s="328"/>
      <c r="X65" s="209"/>
      <c r="Y65" s="209"/>
      <c r="Z65" s="209"/>
      <c r="AA65" s="209"/>
    </row>
    <row r="66" spans="1:27" ht="36.75">
      <c r="A66" s="53">
        <v>4</v>
      </c>
      <c r="B66" s="9"/>
      <c r="C66" s="6" t="s">
        <v>26</v>
      </c>
      <c r="D66" s="11" t="s">
        <v>27</v>
      </c>
      <c r="E66" s="9">
        <v>2001002</v>
      </c>
      <c r="F66" s="21" t="s">
        <v>28</v>
      </c>
      <c r="G66" s="9">
        <v>13</v>
      </c>
      <c r="H66" s="7" t="s">
        <v>21</v>
      </c>
      <c r="I66" s="318">
        <f t="shared" si="22"/>
        <v>3819.0265486725666</v>
      </c>
      <c r="J66" s="318">
        <f t="shared" si="23"/>
        <v>3917.298407079647</v>
      </c>
      <c r="K66" s="318">
        <f t="shared" si="28"/>
        <v>4315.5</v>
      </c>
      <c r="L66" s="318">
        <f t="shared" si="29"/>
        <v>4426.547200000001</v>
      </c>
      <c r="M66" s="33"/>
      <c r="N66" s="318">
        <f t="shared" si="24"/>
        <v>3819.0265486725666</v>
      </c>
      <c r="O66" s="318">
        <f t="shared" si="25"/>
        <v>3909.3338053097355</v>
      </c>
      <c r="P66" s="318">
        <f t="shared" si="30"/>
        <v>4315.5</v>
      </c>
      <c r="Q66" s="318">
        <f t="shared" si="31"/>
        <v>4417.547200000001</v>
      </c>
      <c r="R66" s="113"/>
      <c r="S66" s="318">
        <f t="shared" si="26"/>
        <v>3819.0265486725666</v>
      </c>
      <c r="T66" s="318">
        <f t="shared" si="27"/>
        <v>3909.3338053097355</v>
      </c>
      <c r="U66" s="318">
        <f t="shared" si="32"/>
        <v>4315.5</v>
      </c>
      <c r="V66" s="318">
        <f t="shared" si="33"/>
        <v>4417.547200000001</v>
      </c>
      <c r="W66" s="113"/>
      <c r="X66" s="334"/>
      <c r="Y66" s="334"/>
      <c r="Z66" s="334"/>
      <c r="AA66" s="334"/>
    </row>
    <row r="67" spans="1:27" ht="12.75">
      <c r="A67" s="53">
        <v>5</v>
      </c>
      <c r="B67" s="9"/>
      <c r="C67" s="9"/>
      <c r="D67" s="10" t="s">
        <v>29</v>
      </c>
      <c r="E67" s="9"/>
      <c r="F67" s="10" t="s">
        <v>30</v>
      </c>
      <c r="G67" s="9">
        <v>13</v>
      </c>
      <c r="H67" s="9" t="s">
        <v>21</v>
      </c>
      <c r="I67" s="322">
        <f t="shared" si="22"/>
        <v>3922.5663716814165</v>
      </c>
      <c r="J67" s="322">
        <f t="shared" si="23"/>
        <v>4021.6147787610626</v>
      </c>
      <c r="K67" s="322">
        <f t="shared" si="28"/>
        <v>4432.5</v>
      </c>
      <c r="L67" s="322">
        <f t="shared" si="29"/>
        <v>4544.4247000000005</v>
      </c>
      <c r="M67" s="32"/>
      <c r="N67" s="322">
        <f t="shared" si="24"/>
        <v>3922.5663716814165</v>
      </c>
      <c r="O67" s="322">
        <f t="shared" si="25"/>
        <v>4013.650176991151</v>
      </c>
      <c r="P67" s="322">
        <f t="shared" si="30"/>
        <v>4432.5</v>
      </c>
      <c r="Q67" s="322">
        <f t="shared" si="31"/>
        <v>4535.4247000000005</v>
      </c>
      <c r="R67" s="328"/>
      <c r="S67" s="322">
        <f t="shared" si="26"/>
        <v>3922.5663716814165</v>
      </c>
      <c r="T67" s="322">
        <f t="shared" si="27"/>
        <v>4013.650176991151</v>
      </c>
      <c r="U67" s="322">
        <f t="shared" si="32"/>
        <v>4432.5</v>
      </c>
      <c r="V67" s="322">
        <f t="shared" si="33"/>
        <v>4535.4247000000005</v>
      </c>
      <c r="W67" s="328"/>
      <c r="X67" s="209"/>
      <c r="Y67" s="209"/>
      <c r="Z67" s="209"/>
      <c r="AA67" s="209"/>
    </row>
    <row r="68" spans="1:27" ht="12.75">
      <c r="A68" s="53">
        <v>6</v>
      </c>
      <c r="B68" s="9"/>
      <c r="C68" s="9"/>
      <c r="D68" s="10" t="s">
        <v>29</v>
      </c>
      <c r="E68" s="9"/>
      <c r="F68" s="10" t="s">
        <v>31</v>
      </c>
      <c r="G68" s="9">
        <v>13</v>
      </c>
      <c r="H68" s="9" t="s">
        <v>21</v>
      </c>
      <c r="I68" s="322">
        <f t="shared" si="22"/>
        <v>3825.2212389380534</v>
      </c>
      <c r="J68" s="322">
        <f t="shared" si="23"/>
        <v>3923.539557522125</v>
      </c>
      <c r="K68" s="322">
        <f t="shared" si="28"/>
        <v>4322.5</v>
      </c>
      <c r="L68" s="322">
        <f t="shared" si="29"/>
        <v>4433.599700000001</v>
      </c>
      <c r="M68" s="32"/>
      <c r="N68" s="322">
        <f t="shared" si="24"/>
        <v>3825.2212389380534</v>
      </c>
      <c r="O68" s="322">
        <f t="shared" si="25"/>
        <v>3915.5749557522136</v>
      </c>
      <c r="P68" s="322">
        <f t="shared" si="30"/>
        <v>4322.5</v>
      </c>
      <c r="Q68" s="322">
        <f t="shared" si="31"/>
        <v>4424.599700000001</v>
      </c>
      <c r="R68" s="328"/>
      <c r="S68" s="322">
        <f t="shared" si="26"/>
        <v>3825.2212389380534</v>
      </c>
      <c r="T68" s="322">
        <f t="shared" si="27"/>
        <v>3915.5749557522136</v>
      </c>
      <c r="U68" s="322">
        <f t="shared" si="32"/>
        <v>4322.5</v>
      </c>
      <c r="V68" s="322">
        <f t="shared" si="33"/>
        <v>4424.599700000001</v>
      </c>
      <c r="W68" s="328"/>
      <c r="X68" s="209"/>
      <c r="Y68" s="209"/>
      <c r="Z68" s="209"/>
      <c r="AA68" s="209"/>
    </row>
    <row r="69" spans="1:27" ht="12.75">
      <c r="A69" s="53">
        <v>7</v>
      </c>
      <c r="B69" s="9"/>
      <c r="C69" s="9"/>
      <c r="D69" s="10" t="s">
        <v>29</v>
      </c>
      <c r="E69" s="9"/>
      <c r="F69" s="10" t="s">
        <v>32</v>
      </c>
      <c r="G69" s="9">
        <v>13</v>
      </c>
      <c r="H69" s="9" t="s">
        <v>21</v>
      </c>
      <c r="I69" s="322">
        <f t="shared" si="22"/>
        <v>3780.973451327434</v>
      </c>
      <c r="J69" s="322">
        <f t="shared" si="23"/>
        <v>3878.9599115044257</v>
      </c>
      <c r="K69" s="322">
        <f t="shared" si="28"/>
        <v>4272.5</v>
      </c>
      <c r="L69" s="322">
        <f t="shared" si="29"/>
        <v>4383.224700000001</v>
      </c>
      <c r="M69" s="32"/>
      <c r="N69" s="322">
        <f t="shared" si="24"/>
        <v>3780.973451327434</v>
      </c>
      <c r="O69" s="322">
        <f t="shared" si="25"/>
        <v>3870.995309734514</v>
      </c>
      <c r="P69" s="322">
        <f t="shared" si="30"/>
        <v>4272.5</v>
      </c>
      <c r="Q69" s="322">
        <f t="shared" si="31"/>
        <v>4374.224700000001</v>
      </c>
      <c r="R69" s="328"/>
      <c r="S69" s="322">
        <f t="shared" si="26"/>
        <v>3780.973451327434</v>
      </c>
      <c r="T69" s="322">
        <f t="shared" si="27"/>
        <v>3870.995309734514</v>
      </c>
      <c r="U69" s="322">
        <f t="shared" si="32"/>
        <v>4272.5</v>
      </c>
      <c r="V69" s="322">
        <f t="shared" si="33"/>
        <v>4374.224700000001</v>
      </c>
      <c r="W69" s="328"/>
      <c r="X69" s="209"/>
      <c r="Y69" s="209"/>
      <c r="Z69" s="209"/>
      <c r="AA69" s="209"/>
    </row>
    <row r="70" spans="1:27" ht="12.75">
      <c r="A70" s="53">
        <v>8</v>
      </c>
      <c r="B70" s="9"/>
      <c r="C70" s="9"/>
      <c r="D70" s="10" t="s">
        <v>29</v>
      </c>
      <c r="E70" s="9"/>
      <c r="F70" s="10" t="s">
        <v>33</v>
      </c>
      <c r="G70" s="9">
        <v>13</v>
      </c>
      <c r="H70" s="9" t="s">
        <v>21</v>
      </c>
      <c r="I70" s="322">
        <f t="shared" si="22"/>
        <v>3834.0707964601775</v>
      </c>
      <c r="J70" s="322">
        <f t="shared" si="23"/>
        <v>3932.4554867256647</v>
      </c>
      <c r="K70" s="322">
        <f t="shared" si="28"/>
        <v>4332.5</v>
      </c>
      <c r="L70" s="322">
        <f t="shared" si="29"/>
        <v>4443.6747000000005</v>
      </c>
      <c r="M70" s="32"/>
      <c r="N70" s="322">
        <f t="shared" si="24"/>
        <v>3834.0707964601775</v>
      </c>
      <c r="O70" s="322">
        <f t="shared" si="25"/>
        <v>3924.490884955753</v>
      </c>
      <c r="P70" s="322">
        <f t="shared" si="30"/>
        <v>4332.5</v>
      </c>
      <c r="Q70" s="322">
        <f t="shared" si="31"/>
        <v>4434.6747000000005</v>
      </c>
      <c r="R70" s="328"/>
      <c r="S70" s="322">
        <f t="shared" si="26"/>
        <v>3834.0707964601775</v>
      </c>
      <c r="T70" s="322">
        <f t="shared" si="27"/>
        <v>3924.490884955753</v>
      </c>
      <c r="U70" s="322">
        <f t="shared" si="32"/>
        <v>4332.5</v>
      </c>
      <c r="V70" s="322">
        <f t="shared" si="33"/>
        <v>4434.6747000000005</v>
      </c>
      <c r="W70" s="328"/>
      <c r="X70" s="209"/>
      <c r="Y70" s="209"/>
      <c r="Z70" s="209"/>
      <c r="AA70" s="209"/>
    </row>
    <row r="71" spans="1:27" ht="27.75" customHeight="1">
      <c r="A71" s="53">
        <v>9</v>
      </c>
      <c r="B71" s="9"/>
      <c r="C71" s="6" t="s">
        <v>34</v>
      </c>
      <c r="D71" s="11" t="s">
        <v>35</v>
      </c>
      <c r="E71" s="9">
        <v>2003004</v>
      </c>
      <c r="F71" s="21" t="s">
        <v>127</v>
      </c>
      <c r="G71" s="9">
        <v>13</v>
      </c>
      <c r="H71" s="7" t="s">
        <v>21</v>
      </c>
      <c r="I71" s="318">
        <f t="shared" si="22"/>
        <v>3988.95575221239</v>
      </c>
      <c r="J71" s="318">
        <f t="shared" si="23"/>
        <v>4088.502079646018</v>
      </c>
      <c r="K71" s="318">
        <f t="shared" si="28"/>
        <v>4507.52</v>
      </c>
      <c r="L71" s="318">
        <f t="shared" si="29"/>
        <v>4620.00735</v>
      </c>
      <c r="M71" s="33"/>
      <c r="N71" s="318">
        <f t="shared" si="24"/>
        <v>3988.95575221239</v>
      </c>
      <c r="O71" s="318">
        <f t="shared" si="25"/>
        <v>4080.5374778761065</v>
      </c>
      <c r="P71" s="318">
        <f t="shared" si="30"/>
        <v>4507.52</v>
      </c>
      <c r="Q71" s="318">
        <f t="shared" si="31"/>
        <v>4611.00735</v>
      </c>
      <c r="R71" s="113"/>
      <c r="S71" s="318">
        <f t="shared" si="26"/>
        <v>3988.95575221239</v>
      </c>
      <c r="T71" s="318">
        <f t="shared" si="27"/>
        <v>4080.5374778761065</v>
      </c>
      <c r="U71" s="318">
        <f t="shared" si="32"/>
        <v>4507.52</v>
      </c>
      <c r="V71" s="318">
        <f t="shared" si="33"/>
        <v>4611.00735</v>
      </c>
      <c r="W71" s="113"/>
      <c r="X71" s="334"/>
      <c r="Y71" s="334"/>
      <c r="Z71" s="334"/>
      <c r="AA71" s="334"/>
    </row>
    <row r="72" spans="1:27" ht="12.75">
      <c r="A72" s="53">
        <v>10</v>
      </c>
      <c r="B72" s="9"/>
      <c r="C72" s="9"/>
      <c r="D72" s="10" t="s">
        <v>128</v>
      </c>
      <c r="E72" s="9"/>
      <c r="F72" s="13" t="s">
        <v>38</v>
      </c>
      <c r="G72" s="9">
        <v>13</v>
      </c>
      <c r="H72" s="9" t="s">
        <v>21</v>
      </c>
      <c r="I72" s="322">
        <f t="shared" si="22"/>
        <v>4020.3539823008855</v>
      </c>
      <c r="J72" s="322">
        <f t="shared" si="23"/>
        <v>4120.1357964601775</v>
      </c>
      <c r="K72" s="322">
        <f t="shared" si="28"/>
        <v>4543</v>
      </c>
      <c r="L72" s="322">
        <f t="shared" si="29"/>
        <v>4655.75345</v>
      </c>
      <c r="M72" s="32"/>
      <c r="N72" s="322">
        <f t="shared" si="24"/>
        <v>4020.3539823008855</v>
      </c>
      <c r="O72" s="322">
        <f t="shared" si="25"/>
        <v>4112.171194690266</v>
      </c>
      <c r="P72" s="322">
        <f t="shared" si="30"/>
        <v>4543</v>
      </c>
      <c r="Q72" s="322">
        <f t="shared" si="31"/>
        <v>4646.75345</v>
      </c>
      <c r="R72" s="328"/>
      <c r="S72" s="322">
        <f t="shared" si="26"/>
        <v>4020.3539823008855</v>
      </c>
      <c r="T72" s="322">
        <f t="shared" si="27"/>
        <v>4112.171194690266</v>
      </c>
      <c r="U72" s="322">
        <f t="shared" si="32"/>
        <v>4543</v>
      </c>
      <c r="V72" s="322">
        <f t="shared" si="33"/>
        <v>4646.75345</v>
      </c>
      <c r="W72" s="328"/>
      <c r="X72" s="209"/>
      <c r="Y72" s="209"/>
      <c r="Z72" s="209"/>
      <c r="AA72" s="209"/>
    </row>
    <row r="73" spans="1:27" ht="12.75">
      <c r="A73" s="53">
        <v>11</v>
      </c>
      <c r="B73" s="9"/>
      <c r="C73" s="9"/>
      <c r="D73" s="10" t="s">
        <v>129</v>
      </c>
      <c r="E73" s="9"/>
      <c r="F73" s="13" t="s">
        <v>40</v>
      </c>
      <c r="G73" s="9">
        <v>13</v>
      </c>
      <c r="H73" s="9" t="s">
        <v>21</v>
      </c>
      <c r="I73" s="322">
        <f t="shared" si="22"/>
        <v>3976.106194690266</v>
      </c>
      <c r="J73" s="322">
        <f t="shared" si="23"/>
        <v>4075.5561504424786</v>
      </c>
      <c r="K73" s="322">
        <f t="shared" si="28"/>
        <v>4493</v>
      </c>
      <c r="L73" s="322">
        <f t="shared" si="29"/>
        <v>4605.37845</v>
      </c>
      <c r="M73" s="32"/>
      <c r="N73" s="322">
        <f t="shared" si="24"/>
        <v>3976.106194690266</v>
      </c>
      <c r="O73" s="322">
        <f t="shared" si="25"/>
        <v>4067.591548672567</v>
      </c>
      <c r="P73" s="322">
        <f t="shared" si="30"/>
        <v>4493</v>
      </c>
      <c r="Q73" s="322">
        <f t="shared" si="31"/>
        <v>4596.37845</v>
      </c>
      <c r="R73" s="328"/>
      <c r="S73" s="322">
        <f t="shared" si="26"/>
        <v>3976.106194690266</v>
      </c>
      <c r="T73" s="322">
        <f t="shared" si="27"/>
        <v>4067.591548672567</v>
      </c>
      <c r="U73" s="322">
        <f t="shared" si="32"/>
        <v>4493</v>
      </c>
      <c r="V73" s="322">
        <f t="shared" si="33"/>
        <v>4596.37845</v>
      </c>
      <c r="W73" s="328"/>
      <c r="X73" s="209"/>
      <c r="Y73" s="209"/>
      <c r="Z73" s="209"/>
      <c r="AA73" s="209"/>
    </row>
    <row r="74" spans="1:27" ht="12.75">
      <c r="A74" s="53">
        <v>12</v>
      </c>
      <c r="B74" s="9"/>
      <c r="C74" s="9"/>
      <c r="D74" s="10" t="s">
        <v>130</v>
      </c>
      <c r="E74" s="9"/>
      <c r="F74" s="13" t="s">
        <v>42</v>
      </c>
      <c r="G74" s="9">
        <v>13</v>
      </c>
      <c r="H74" s="9" t="s">
        <v>21</v>
      </c>
      <c r="I74" s="322">
        <f t="shared" si="22"/>
        <v>3991.1504424778764</v>
      </c>
      <c r="J74" s="322">
        <f t="shared" si="23"/>
        <v>4090.7132300884964</v>
      </c>
      <c r="K74" s="322">
        <f t="shared" si="28"/>
        <v>4510</v>
      </c>
      <c r="L74" s="322">
        <f t="shared" si="29"/>
        <v>4622.505950000001</v>
      </c>
      <c r="M74" s="32"/>
      <c r="N74" s="322">
        <f t="shared" si="24"/>
        <v>3991.1504424778764</v>
      </c>
      <c r="O74" s="322">
        <f t="shared" si="25"/>
        <v>4082.748628318585</v>
      </c>
      <c r="P74" s="322">
        <f t="shared" si="30"/>
        <v>4510</v>
      </c>
      <c r="Q74" s="322">
        <f t="shared" si="31"/>
        <v>4613.505950000001</v>
      </c>
      <c r="R74" s="328"/>
      <c r="S74" s="322">
        <f t="shared" si="26"/>
        <v>3991.1504424778764</v>
      </c>
      <c r="T74" s="322">
        <f t="shared" si="27"/>
        <v>4082.748628318585</v>
      </c>
      <c r="U74" s="322">
        <f t="shared" si="32"/>
        <v>4510</v>
      </c>
      <c r="V74" s="322">
        <f t="shared" si="33"/>
        <v>4613.505950000001</v>
      </c>
      <c r="W74" s="328"/>
      <c r="X74" s="209"/>
      <c r="Y74" s="209"/>
      <c r="Z74" s="209"/>
      <c r="AA74" s="209"/>
    </row>
    <row r="75" spans="1:27" ht="12.75">
      <c r="A75" s="53">
        <v>13</v>
      </c>
      <c r="B75" s="9"/>
      <c r="C75" s="59" t="s">
        <v>131</v>
      </c>
      <c r="D75" s="198"/>
      <c r="E75" s="9">
        <v>2003005</v>
      </c>
      <c r="F75" s="13" t="s">
        <v>44</v>
      </c>
      <c r="G75" s="9">
        <v>13</v>
      </c>
      <c r="H75" s="9" t="s">
        <v>21</v>
      </c>
      <c r="I75" s="322">
        <f t="shared" si="22"/>
        <v>4122.12389380531</v>
      </c>
      <c r="J75" s="322">
        <f t="shared" si="23"/>
        <v>4222.668982300886</v>
      </c>
      <c r="K75" s="322">
        <f t="shared" si="28"/>
        <v>4658</v>
      </c>
      <c r="L75" s="322">
        <f t="shared" si="29"/>
        <v>4771.61595</v>
      </c>
      <c r="M75" s="32"/>
      <c r="N75" s="322">
        <f t="shared" si="24"/>
        <v>4122.12389380531</v>
      </c>
      <c r="O75" s="322">
        <f t="shared" si="25"/>
        <v>4214.704380530974</v>
      </c>
      <c r="P75" s="322">
        <f t="shared" si="30"/>
        <v>4658</v>
      </c>
      <c r="Q75" s="322">
        <f t="shared" si="31"/>
        <v>4762.61595</v>
      </c>
      <c r="R75" s="328"/>
      <c r="S75" s="322">
        <f t="shared" si="26"/>
        <v>4122.12389380531</v>
      </c>
      <c r="T75" s="322">
        <f t="shared" si="27"/>
        <v>4214.704380530974</v>
      </c>
      <c r="U75" s="322">
        <f t="shared" si="32"/>
        <v>4658</v>
      </c>
      <c r="V75" s="322">
        <f t="shared" si="33"/>
        <v>4762.61595</v>
      </c>
      <c r="W75" s="328"/>
      <c r="X75" s="209"/>
      <c r="Y75" s="209"/>
      <c r="Z75" s="209"/>
      <c r="AA75" s="209"/>
    </row>
    <row r="76" spans="1:27" ht="27.75" customHeight="1">
      <c r="A76" s="53">
        <v>14</v>
      </c>
      <c r="B76" s="9"/>
      <c r="C76" s="6" t="s">
        <v>45</v>
      </c>
      <c r="D76" s="11" t="s">
        <v>46</v>
      </c>
      <c r="E76" s="25"/>
      <c r="F76" s="21" t="s">
        <v>47</v>
      </c>
      <c r="G76" s="9">
        <v>13</v>
      </c>
      <c r="H76" s="7" t="s">
        <v>21</v>
      </c>
      <c r="I76" s="318">
        <f t="shared" si="22"/>
        <v>4519.29203539823</v>
      </c>
      <c r="J76" s="318">
        <f t="shared" si="23"/>
        <v>4622.815884955753</v>
      </c>
      <c r="K76" s="318">
        <f t="shared" si="28"/>
        <v>5106.799999999999</v>
      </c>
      <c r="L76" s="318">
        <f t="shared" si="29"/>
        <v>5223.7819500000005</v>
      </c>
      <c r="M76" s="157"/>
      <c r="N76" s="318">
        <f t="shared" si="24"/>
        <v>4519.29203539823</v>
      </c>
      <c r="O76" s="318">
        <f t="shared" si="25"/>
        <v>4614.851283185842</v>
      </c>
      <c r="P76" s="318">
        <f t="shared" si="30"/>
        <v>5106.799999999999</v>
      </c>
      <c r="Q76" s="318">
        <f t="shared" si="31"/>
        <v>5214.7819500000005</v>
      </c>
      <c r="R76" s="157"/>
      <c r="S76" s="318">
        <f t="shared" si="26"/>
        <v>4519.29203539823</v>
      </c>
      <c r="T76" s="318">
        <f t="shared" si="27"/>
        <v>4614.851283185842</v>
      </c>
      <c r="U76" s="318">
        <f t="shared" si="32"/>
        <v>5106.799999999999</v>
      </c>
      <c r="V76" s="318">
        <f t="shared" si="33"/>
        <v>5214.7819500000005</v>
      </c>
      <c r="W76" s="157"/>
      <c r="X76" s="334"/>
      <c r="Y76" s="334"/>
      <c r="Z76" s="334"/>
      <c r="AA76" s="334"/>
    </row>
    <row r="77" spans="1:27" ht="12.75">
      <c r="A77" s="53">
        <v>15</v>
      </c>
      <c r="B77" s="9"/>
      <c r="C77" s="9"/>
      <c r="D77" s="10" t="s">
        <v>48</v>
      </c>
      <c r="E77" s="25"/>
      <c r="F77" s="10" t="s">
        <v>49</v>
      </c>
      <c r="G77" s="9">
        <v>13</v>
      </c>
      <c r="H77" s="9" t="s">
        <v>21</v>
      </c>
      <c r="I77" s="322">
        <f t="shared" si="22"/>
        <v>4197.345132743363</v>
      </c>
      <c r="J77" s="322">
        <f t="shared" si="23"/>
        <v>4298.454380530974</v>
      </c>
      <c r="K77" s="322">
        <f t="shared" si="28"/>
        <v>4743</v>
      </c>
      <c r="L77" s="322">
        <f t="shared" si="29"/>
        <v>4857.25345</v>
      </c>
      <c r="M77" s="31"/>
      <c r="N77" s="322">
        <f t="shared" si="24"/>
        <v>4197.345132743363</v>
      </c>
      <c r="O77" s="322">
        <f t="shared" si="25"/>
        <v>4290.489778761063</v>
      </c>
      <c r="P77" s="322">
        <f t="shared" si="30"/>
        <v>4743</v>
      </c>
      <c r="Q77" s="322">
        <f t="shared" si="31"/>
        <v>4848.25345</v>
      </c>
      <c r="R77" s="328"/>
      <c r="S77" s="322">
        <f t="shared" si="26"/>
        <v>4197.345132743363</v>
      </c>
      <c r="T77" s="322">
        <f t="shared" si="27"/>
        <v>4290.489778761063</v>
      </c>
      <c r="U77" s="322">
        <f t="shared" si="32"/>
        <v>4743</v>
      </c>
      <c r="V77" s="322">
        <f t="shared" si="33"/>
        <v>4848.25345</v>
      </c>
      <c r="W77" s="328"/>
      <c r="X77" s="209"/>
      <c r="Y77" s="209"/>
      <c r="Z77" s="209"/>
      <c r="AA77" s="209"/>
    </row>
    <row r="78" spans="1:27" ht="12.75">
      <c r="A78" s="53">
        <v>16</v>
      </c>
      <c r="B78" s="9"/>
      <c r="C78" s="9"/>
      <c r="D78" s="10" t="s">
        <v>50</v>
      </c>
      <c r="E78" s="25">
        <v>2003009</v>
      </c>
      <c r="F78" s="10" t="s">
        <v>51</v>
      </c>
      <c r="G78" s="9">
        <v>13</v>
      </c>
      <c r="H78" s="9" t="s">
        <v>21</v>
      </c>
      <c r="I78" s="322">
        <f t="shared" si="22"/>
        <v>4738.938053097346</v>
      </c>
      <c r="J78" s="322">
        <f t="shared" si="23"/>
        <v>4844.109247787611</v>
      </c>
      <c r="K78" s="322">
        <f t="shared" si="28"/>
        <v>5355</v>
      </c>
      <c r="L78" s="322">
        <f t="shared" si="29"/>
        <v>5473.84345</v>
      </c>
      <c r="M78" s="31"/>
      <c r="N78" s="322">
        <f t="shared" si="24"/>
        <v>4738.938053097346</v>
      </c>
      <c r="O78" s="322">
        <f t="shared" si="25"/>
        <v>4836.144646017699</v>
      </c>
      <c r="P78" s="322">
        <f t="shared" si="30"/>
        <v>5355</v>
      </c>
      <c r="Q78" s="322">
        <f t="shared" si="31"/>
        <v>5464.84345</v>
      </c>
      <c r="R78" s="328"/>
      <c r="S78" s="322">
        <f t="shared" si="26"/>
        <v>4738.938053097346</v>
      </c>
      <c r="T78" s="322">
        <f t="shared" si="27"/>
        <v>4836.144646017699</v>
      </c>
      <c r="U78" s="322">
        <f t="shared" si="32"/>
        <v>5355</v>
      </c>
      <c r="V78" s="322">
        <f t="shared" si="33"/>
        <v>5464.84345</v>
      </c>
      <c r="W78" s="328"/>
      <c r="X78" s="209"/>
      <c r="Y78" s="209"/>
      <c r="Z78" s="209"/>
      <c r="AA78" s="209"/>
    </row>
    <row r="79" spans="1:27" ht="12.75">
      <c r="A79" s="53">
        <v>17</v>
      </c>
      <c r="B79" s="9"/>
      <c r="C79" s="9"/>
      <c r="D79" s="10" t="s">
        <v>52</v>
      </c>
      <c r="E79" s="25">
        <v>2003008</v>
      </c>
      <c r="F79" s="10" t="s">
        <v>53</v>
      </c>
      <c r="G79" s="9">
        <v>13</v>
      </c>
      <c r="H79" s="9" t="s">
        <v>21</v>
      </c>
      <c r="I79" s="322">
        <f t="shared" si="22"/>
        <v>5265.486725663717</v>
      </c>
      <c r="J79" s="322">
        <f t="shared" si="23"/>
        <v>5374.607035398231</v>
      </c>
      <c r="K79" s="322">
        <f t="shared" si="28"/>
        <v>5950</v>
      </c>
      <c r="L79" s="322">
        <f t="shared" si="29"/>
        <v>6073.305950000001</v>
      </c>
      <c r="M79" s="32"/>
      <c r="N79" s="322">
        <f t="shared" si="24"/>
        <v>5265.486725663717</v>
      </c>
      <c r="O79" s="322">
        <f t="shared" si="25"/>
        <v>5366.64243362832</v>
      </c>
      <c r="P79" s="322">
        <f t="shared" si="30"/>
        <v>5950</v>
      </c>
      <c r="Q79" s="322">
        <f t="shared" si="31"/>
        <v>6064.305950000001</v>
      </c>
      <c r="R79" s="328"/>
      <c r="S79" s="322">
        <f t="shared" si="26"/>
        <v>5265.486725663717</v>
      </c>
      <c r="T79" s="322">
        <f t="shared" si="27"/>
        <v>5366.64243362832</v>
      </c>
      <c r="U79" s="322">
        <f t="shared" si="32"/>
        <v>5950</v>
      </c>
      <c r="V79" s="322">
        <f t="shared" si="33"/>
        <v>6064.305950000001</v>
      </c>
      <c r="W79" s="328"/>
      <c r="X79" s="209"/>
      <c r="Y79" s="209"/>
      <c r="Z79" s="209"/>
      <c r="AA79" s="209"/>
    </row>
    <row r="80" spans="1:27" ht="12.75">
      <c r="A80" s="53">
        <v>18</v>
      </c>
      <c r="B80" s="9"/>
      <c r="C80" s="10" t="s">
        <v>54</v>
      </c>
      <c r="D80" s="13"/>
      <c r="E80" s="9">
        <v>2001006</v>
      </c>
      <c r="F80" s="13"/>
      <c r="G80" s="9">
        <v>13</v>
      </c>
      <c r="H80" s="9" t="s">
        <v>21</v>
      </c>
      <c r="I80" s="322">
        <f t="shared" si="22"/>
        <v>5433.628318584071</v>
      </c>
      <c r="J80" s="322">
        <f t="shared" si="23"/>
        <v>5544.009690265488</v>
      </c>
      <c r="K80" s="322">
        <f t="shared" si="28"/>
        <v>6140</v>
      </c>
      <c r="L80" s="322">
        <f t="shared" si="29"/>
        <v>6264.73095</v>
      </c>
      <c r="M80" s="113"/>
      <c r="N80" s="322">
        <f t="shared" si="24"/>
        <v>5433.628318584071</v>
      </c>
      <c r="O80" s="322">
        <f t="shared" si="25"/>
        <v>5536.045088495576</v>
      </c>
      <c r="P80" s="322">
        <f t="shared" si="30"/>
        <v>6140</v>
      </c>
      <c r="Q80" s="322">
        <f t="shared" si="31"/>
        <v>6255.73095</v>
      </c>
      <c r="R80" s="328"/>
      <c r="S80" s="322">
        <f t="shared" si="26"/>
        <v>5433.628318584071</v>
      </c>
      <c r="T80" s="322">
        <f t="shared" si="27"/>
        <v>5536.045088495576</v>
      </c>
      <c r="U80" s="322">
        <f t="shared" si="32"/>
        <v>6140</v>
      </c>
      <c r="V80" s="322">
        <f t="shared" si="33"/>
        <v>6255.73095</v>
      </c>
      <c r="W80" s="328"/>
      <c r="X80" s="209"/>
      <c r="Y80" s="209"/>
      <c r="Z80" s="209"/>
      <c r="AA80" s="209"/>
    </row>
    <row r="81" spans="1:27" ht="13.5">
      <c r="A81" s="53">
        <v>19</v>
      </c>
      <c r="B81" s="9"/>
      <c r="C81" s="10" t="s">
        <v>55</v>
      </c>
      <c r="D81" s="13"/>
      <c r="E81" s="9">
        <v>2001008</v>
      </c>
      <c r="F81" s="10" t="s">
        <v>56</v>
      </c>
      <c r="G81" s="9">
        <v>13</v>
      </c>
      <c r="H81" s="9" t="s">
        <v>21</v>
      </c>
      <c r="I81" s="322">
        <f t="shared" si="22"/>
        <v>5079.646017699116</v>
      </c>
      <c r="J81" s="322">
        <f t="shared" si="23"/>
        <v>5187.372522123895</v>
      </c>
      <c r="K81" s="322">
        <f t="shared" si="28"/>
        <v>5740</v>
      </c>
      <c r="L81" s="322">
        <f t="shared" si="29"/>
        <v>5861.73095</v>
      </c>
      <c r="M81" s="325"/>
      <c r="N81" s="322">
        <f t="shared" si="24"/>
        <v>5079.646017699116</v>
      </c>
      <c r="O81" s="322">
        <f t="shared" si="25"/>
        <v>5179.407920353983</v>
      </c>
      <c r="P81" s="322">
        <f t="shared" si="30"/>
        <v>5740</v>
      </c>
      <c r="Q81" s="322">
        <f t="shared" si="31"/>
        <v>5852.73095</v>
      </c>
      <c r="R81" s="328"/>
      <c r="S81" s="322">
        <f t="shared" si="26"/>
        <v>5079.646017699116</v>
      </c>
      <c r="T81" s="322">
        <f t="shared" si="27"/>
        <v>5179.407920353983</v>
      </c>
      <c r="U81" s="322">
        <f t="shared" si="32"/>
        <v>5740</v>
      </c>
      <c r="V81" s="322">
        <f t="shared" si="33"/>
        <v>5852.73095</v>
      </c>
      <c r="W81" s="328"/>
      <c r="X81" s="209"/>
      <c r="Y81" s="209"/>
      <c r="Z81" s="209"/>
      <c r="AA81" s="209"/>
    </row>
    <row r="82" spans="1:27" ht="27.75" customHeight="1">
      <c r="A82" s="53">
        <v>20</v>
      </c>
      <c r="B82" s="6" t="s">
        <v>57</v>
      </c>
      <c r="C82" s="11" t="s">
        <v>58</v>
      </c>
      <c r="D82" s="14"/>
      <c r="E82" s="7"/>
      <c r="F82" s="21" t="s">
        <v>135</v>
      </c>
      <c r="G82" s="9">
        <v>13</v>
      </c>
      <c r="H82" s="7" t="s">
        <v>21</v>
      </c>
      <c r="I82" s="157">
        <f>I83*0.1+I84*0.6+I85*0.3</f>
        <v>482.3008849557522</v>
      </c>
      <c r="J82" s="157">
        <f>J83*0.1+J84*0.6+J85*0.3</f>
        <v>504.1635777061947</v>
      </c>
      <c r="K82" s="157">
        <f>K83*0.1+K84*0.6+K85*0.3</f>
        <v>545</v>
      </c>
      <c r="L82" s="157">
        <f>L83*0.1+L84*0.6+L85*0.3</f>
        <v>568.773723</v>
      </c>
      <c r="M82" s="157"/>
      <c r="N82" s="157">
        <f>N83*0.1+N84*0.6+N85*0.3</f>
        <v>486.7256637168142</v>
      </c>
      <c r="O82" s="157">
        <f>O83*0.1+O84*0.6+O85*0.3</f>
        <v>508.7041086796461</v>
      </c>
      <c r="P82" s="157">
        <f>P83*0.1+P84*0.6+P85*0.3</f>
        <v>550</v>
      </c>
      <c r="Q82" s="157">
        <f>Q83*0.1+Q84*0.6+Q85*0.3</f>
        <v>573.8994730000001</v>
      </c>
      <c r="R82" s="157"/>
      <c r="S82" s="157">
        <f>S83*0.1+S84*0.6+S85*0.3</f>
        <v>491.15044247787614</v>
      </c>
      <c r="T82" s="157">
        <f>T83*0.1+T84*0.6+T85*0.3</f>
        <v>513.2446396530974</v>
      </c>
      <c r="U82" s="157">
        <f>U83*0.1+U84*0.6+U85*0.3</f>
        <v>555</v>
      </c>
      <c r="V82" s="157">
        <f>V83*0.1+V84*0.6+V85*0.3</f>
        <v>579.025223</v>
      </c>
      <c r="W82" s="157"/>
      <c r="X82" s="334"/>
      <c r="Y82" s="334"/>
      <c r="Z82" s="334"/>
      <c r="AA82" s="334"/>
    </row>
    <row r="83" spans="1:27" ht="13.5">
      <c r="A83" s="53">
        <v>22</v>
      </c>
      <c r="B83" s="9"/>
      <c r="C83" s="13" t="s">
        <v>60</v>
      </c>
      <c r="D83" s="13"/>
      <c r="E83" s="9"/>
      <c r="F83" s="10" t="s">
        <v>62</v>
      </c>
      <c r="G83" s="9">
        <v>13</v>
      </c>
      <c r="H83" s="9" t="s">
        <v>21</v>
      </c>
      <c r="I83" s="23">
        <f>K83/1.13</f>
        <v>429.2035398230089</v>
      </c>
      <c r="J83" s="23">
        <f>(I83+9.01)*1.016*1.01</f>
        <v>449.67720602477885</v>
      </c>
      <c r="K83" s="336">
        <f>K26+15</f>
        <v>485</v>
      </c>
      <c r="L83" s="23">
        <f>(K83+9.82)*1.015*1.01</f>
        <v>507.26472299999995</v>
      </c>
      <c r="M83" s="327"/>
      <c r="N83" s="23">
        <f>P83/1.13</f>
        <v>433.6283185840708</v>
      </c>
      <c r="O83" s="23">
        <f>(N83+9.01)*1.016*1.01</f>
        <v>454.2177369982301</v>
      </c>
      <c r="P83" s="327">
        <f>K26+20</f>
        <v>490</v>
      </c>
      <c r="Q83" s="23">
        <f>(P83+9.82)*1.015*1.01</f>
        <v>512.3904729999999</v>
      </c>
      <c r="R83" s="327"/>
      <c r="S83" s="23">
        <f>U83/1.13</f>
        <v>438.0530973451328</v>
      </c>
      <c r="T83" s="23">
        <f>(S83+9.01)*1.016*1.01</f>
        <v>458.7582679716815</v>
      </c>
      <c r="U83" s="327">
        <f>K26+25</f>
        <v>495</v>
      </c>
      <c r="V83" s="23">
        <f>(U83+9.82)*1.015*1.01</f>
        <v>517.516223</v>
      </c>
      <c r="W83" s="150"/>
      <c r="X83" s="209"/>
      <c r="Y83" s="209"/>
      <c r="Z83" s="209"/>
      <c r="AA83" s="209"/>
    </row>
    <row r="84" spans="1:27" ht="13.5">
      <c r="A84" s="53">
        <v>24</v>
      </c>
      <c r="B84" s="9"/>
      <c r="C84" s="13" t="s">
        <v>63</v>
      </c>
      <c r="D84" s="13"/>
      <c r="E84" s="9"/>
      <c r="F84" s="10" t="s">
        <v>62</v>
      </c>
      <c r="G84" s="9">
        <v>13</v>
      </c>
      <c r="H84" s="9" t="s">
        <v>21</v>
      </c>
      <c r="I84" s="23">
        <f>K84/1.13</f>
        <v>473.45132743362836</v>
      </c>
      <c r="J84" s="23">
        <f>(I84+9.01)*1.016*1.01</f>
        <v>495.0825157592921</v>
      </c>
      <c r="K84" s="336">
        <f>K27+15</f>
        <v>535</v>
      </c>
      <c r="L84" s="23">
        <f>(K84+9.82)*1.015*1.01</f>
        <v>558.522223</v>
      </c>
      <c r="M84" s="327"/>
      <c r="N84" s="23">
        <f>P84/1.13</f>
        <v>477.8761061946903</v>
      </c>
      <c r="O84" s="23">
        <f>(N84+9.01)*1.016*1.01</f>
        <v>499.62304673274343</v>
      </c>
      <c r="P84" s="327">
        <f>K27+20</f>
        <v>540</v>
      </c>
      <c r="Q84" s="23">
        <f>(P84+9.82)*1.015*1.01</f>
        <v>563.6479730000001</v>
      </c>
      <c r="R84" s="327"/>
      <c r="S84" s="23">
        <f>U84/1.13</f>
        <v>482.3008849557523</v>
      </c>
      <c r="T84" s="23">
        <f>(S84+9.01)*1.016*1.01</f>
        <v>504.16357770619476</v>
      </c>
      <c r="U84" s="327">
        <f>K27+25</f>
        <v>545</v>
      </c>
      <c r="V84" s="23">
        <f>(U84+9.82)*1.015*1.01</f>
        <v>568.773723</v>
      </c>
      <c r="W84" s="150"/>
      <c r="X84" s="209"/>
      <c r="Y84" s="209"/>
      <c r="Z84" s="209"/>
      <c r="AA84" s="209"/>
    </row>
    <row r="85" spans="1:27" ht="13.5">
      <c r="A85" s="53">
        <v>26</v>
      </c>
      <c r="B85" s="9"/>
      <c r="C85" s="13" t="s">
        <v>136</v>
      </c>
      <c r="D85" s="13"/>
      <c r="E85" s="9"/>
      <c r="F85" s="10" t="s">
        <v>62</v>
      </c>
      <c r="G85" s="9">
        <v>13</v>
      </c>
      <c r="H85" s="9" t="s">
        <v>21</v>
      </c>
      <c r="I85" s="23">
        <f>K85/1.13</f>
        <v>517.6991150442478</v>
      </c>
      <c r="J85" s="23">
        <f>(I85+9.01)*1.016*1.01</f>
        <v>540.4878254938053</v>
      </c>
      <c r="K85" s="336">
        <f>K28+15</f>
        <v>585</v>
      </c>
      <c r="L85" s="23">
        <f>(K85+9.82)*1.015*1.01</f>
        <v>609.779723</v>
      </c>
      <c r="M85" s="327"/>
      <c r="N85" s="23">
        <f>P85/1.13</f>
        <v>522.1238938053098</v>
      </c>
      <c r="O85" s="23">
        <f>(N85+9.01)*1.016*1.01</f>
        <v>545.0283564672567</v>
      </c>
      <c r="P85" s="327">
        <f>K28+20</f>
        <v>590</v>
      </c>
      <c r="Q85" s="23">
        <f>(P85+9.82)*1.015*1.01</f>
        <v>614.905473</v>
      </c>
      <c r="R85" s="327"/>
      <c r="S85" s="23">
        <f>U85/1.13</f>
        <v>526.5486725663717</v>
      </c>
      <c r="T85" s="23">
        <f>(S85+9.01)*1.016*1.01</f>
        <v>549.5688874407081</v>
      </c>
      <c r="U85" s="327">
        <f>K28+25</f>
        <v>595</v>
      </c>
      <c r="V85" s="23">
        <f>(U85+9.82)*1.015*1.01</f>
        <v>620.031223</v>
      </c>
      <c r="W85" s="150"/>
      <c r="X85" s="209"/>
      <c r="Y85" s="209"/>
      <c r="Z85" s="209"/>
      <c r="AA85" s="209"/>
    </row>
    <row r="86" spans="1:23" ht="21.75">
      <c r="A86" s="4" t="str">
        <f>A1</f>
        <v>2023年4月份温州市交通建设工程钢材和水泥价格信息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ht="12.75">
      <c r="A88" s="6" t="s">
        <v>2</v>
      </c>
      <c r="B88" s="6" t="s">
        <v>3</v>
      </c>
      <c r="C88" s="6" t="s">
        <v>4</v>
      </c>
      <c r="D88" s="9"/>
      <c r="E88" s="6" t="s">
        <v>5</v>
      </c>
      <c r="F88" s="6" t="s">
        <v>6</v>
      </c>
      <c r="G88" s="20" t="s">
        <v>119</v>
      </c>
      <c r="H88" s="6" t="s">
        <v>7</v>
      </c>
      <c r="I88" s="54" t="s">
        <v>143</v>
      </c>
      <c r="J88" s="316"/>
      <c r="K88" s="316"/>
      <c r="L88" s="316"/>
      <c r="M88" s="317"/>
      <c r="N88" s="54" t="s">
        <v>144</v>
      </c>
      <c r="O88" s="316"/>
      <c r="P88" s="316"/>
      <c r="Q88" s="316"/>
      <c r="R88" s="317"/>
      <c r="S88" s="337" t="s">
        <v>145</v>
      </c>
      <c r="T88" s="337"/>
      <c r="U88" s="7" t="s">
        <v>146</v>
      </c>
      <c r="V88" s="7"/>
      <c r="W88" s="338"/>
    </row>
    <row r="89" spans="1:23" ht="12.75">
      <c r="A89" s="6"/>
      <c r="B89" s="6"/>
      <c r="C89" s="6"/>
      <c r="D89" s="9"/>
      <c r="E89" s="6"/>
      <c r="F89" s="6"/>
      <c r="G89" s="20"/>
      <c r="H89" s="6"/>
      <c r="I89" s="54" t="s">
        <v>123</v>
      </c>
      <c r="J89" s="317"/>
      <c r="K89" s="54" t="s">
        <v>124</v>
      </c>
      <c r="L89" s="317"/>
      <c r="M89" s="129" t="s">
        <v>88</v>
      </c>
      <c r="N89" s="54" t="s">
        <v>123</v>
      </c>
      <c r="O89" s="317"/>
      <c r="P89" s="54" t="s">
        <v>124</v>
      </c>
      <c r="Q89" s="317"/>
      <c r="R89" s="129" t="s">
        <v>88</v>
      </c>
      <c r="S89" s="337"/>
      <c r="T89" s="337"/>
      <c r="U89" s="7"/>
      <c r="V89" s="7"/>
      <c r="W89" s="339"/>
    </row>
    <row r="90" spans="1:23" ht="25.5">
      <c r="A90" s="9"/>
      <c r="B90" s="9"/>
      <c r="C90" s="9"/>
      <c r="D90" s="9"/>
      <c r="E90" s="9"/>
      <c r="F90" s="9"/>
      <c r="G90" s="20"/>
      <c r="H90" s="9"/>
      <c r="I90" s="6" t="s">
        <v>14</v>
      </c>
      <c r="J90" s="6" t="s">
        <v>15</v>
      </c>
      <c r="K90" s="6" t="s">
        <v>14</v>
      </c>
      <c r="L90" s="6" t="s">
        <v>15</v>
      </c>
      <c r="M90" s="323"/>
      <c r="N90" s="6" t="s">
        <v>14</v>
      </c>
      <c r="O90" s="6" t="s">
        <v>15</v>
      </c>
      <c r="P90" s="6" t="s">
        <v>14</v>
      </c>
      <c r="Q90" s="6" t="s">
        <v>15</v>
      </c>
      <c r="R90" s="323"/>
      <c r="S90" s="6" t="s">
        <v>14</v>
      </c>
      <c r="T90" s="6" t="s">
        <v>15</v>
      </c>
      <c r="U90" s="6" t="s">
        <v>14</v>
      </c>
      <c r="V90" s="6" t="s">
        <v>15</v>
      </c>
      <c r="W90" s="339"/>
    </row>
    <row r="91" spans="1:23" ht="27.75" customHeight="1">
      <c r="A91" s="53">
        <v>1</v>
      </c>
      <c r="B91" s="6" t="s">
        <v>16</v>
      </c>
      <c r="C91" s="6" t="s">
        <v>17</v>
      </c>
      <c r="D91" s="8" t="s">
        <v>18</v>
      </c>
      <c r="E91" s="9" t="s">
        <v>126</v>
      </c>
      <c r="F91" s="21" t="s">
        <v>20</v>
      </c>
      <c r="G91" s="9">
        <v>13</v>
      </c>
      <c r="H91" s="52" t="s">
        <v>21</v>
      </c>
      <c r="I91" s="318">
        <f aca="true" t="shared" si="34" ref="I91:I109">K91/(1+0.01*G6)</f>
        <v>4146.017699115045</v>
      </c>
      <c r="J91" s="318">
        <f aca="true" t="shared" si="35" ref="J91:J109">L91/(1+0.01*G6)</f>
        <v>4260.901283185842</v>
      </c>
      <c r="K91" s="318">
        <f>K6</f>
        <v>4685</v>
      </c>
      <c r="L91" s="318">
        <f>L6+65</f>
        <v>4814.818450000001</v>
      </c>
      <c r="M91" s="154"/>
      <c r="N91" s="318">
        <f aca="true" t="shared" si="36" ref="N91:N109">P91/(1+0.01*G6)</f>
        <v>4146.017699115045</v>
      </c>
      <c r="O91" s="318">
        <f aca="true" t="shared" si="37" ref="O91:O109">Q91/(1+0.01*G6)</f>
        <v>4269.750840707966</v>
      </c>
      <c r="P91" s="318">
        <f>K6</f>
        <v>4685</v>
      </c>
      <c r="Q91" s="318">
        <f>L6+75</f>
        <v>4824.818450000001</v>
      </c>
      <c r="R91" s="322"/>
      <c r="S91" s="157">
        <f aca="true" t="shared" si="38" ref="S91:S109">AVERAGE(I6,N6,S6,I35,N35,S35,I63,N63,S63,I91,N91)</f>
        <v>4146.017699115045</v>
      </c>
      <c r="T91" s="157">
        <f aca="true" t="shared" si="39" ref="T91:T109">AVERAGE(J6,O6,T6,J35,O35,T35,J63,O63,T63,J91,O91)</f>
        <v>4225.276324998392</v>
      </c>
      <c r="U91" s="157">
        <f aca="true" t="shared" si="40" ref="U91:U109">AVERAGE(K6,P6,U6,K35,P35,U35,K63,P63,U63,K91,P91)</f>
        <v>4685</v>
      </c>
      <c r="V91" s="157">
        <f aca="true" t="shared" si="41" ref="V91:V109">AVERAGE(L6,Q6,V6,L35,Q35,V35,L63,Q63,V63,L91,Q91)</f>
        <v>4773.091177272727</v>
      </c>
      <c r="W91" s="340"/>
    </row>
    <row r="92" spans="1:23" ht="25.5">
      <c r="A92" s="53">
        <v>2</v>
      </c>
      <c r="B92" s="9"/>
      <c r="C92" s="9"/>
      <c r="D92" s="10" t="s">
        <v>22</v>
      </c>
      <c r="E92" s="9"/>
      <c r="F92" s="10" t="s">
        <v>23</v>
      </c>
      <c r="G92" s="9">
        <v>13</v>
      </c>
      <c r="H92" s="9" t="s">
        <v>21</v>
      </c>
      <c r="I92" s="322">
        <f t="shared" si="34"/>
        <v>4163.716814159293</v>
      </c>
      <c r="J92" s="322">
        <f t="shared" si="35"/>
        <v>4278.733141592921</v>
      </c>
      <c r="K92" s="322">
        <f aca="true" t="shared" si="42" ref="K92:K109">K7</f>
        <v>4705</v>
      </c>
      <c r="L92" s="322">
        <f aca="true" t="shared" si="43" ref="L92:L109">L7+65</f>
        <v>4834.96845</v>
      </c>
      <c r="M92" s="32"/>
      <c r="N92" s="322">
        <f t="shared" si="36"/>
        <v>4163.716814159293</v>
      </c>
      <c r="O92" s="322">
        <f t="shared" si="37"/>
        <v>4287.582699115045</v>
      </c>
      <c r="P92" s="322">
        <f aca="true" t="shared" si="44" ref="P92:P109">K7</f>
        <v>4705</v>
      </c>
      <c r="Q92" s="322">
        <f aca="true" t="shared" si="45" ref="Q92:Q109">L7+75</f>
        <v>4844.96845</v>
      </c>
      <c r="R92" s="328"/>
      <c r="S92" s="113">
        <f t="shared" si="38"/>
        <v>4163.716814159293</v>
      </c>
      <c r="T92" s="113">
        <f t="shared" si="39"/>
        <v>4243.113332238939</v>
      </c>
      <c r="U92" s="113">
        <f t="shared" si="40"/>
        <v>4705</v>
      </c>
      <c r="V92" s="113">
        <f t="shared" si="41"/>
        <v>4793.241177272727</v>
      </c>
      <c r="W92" s="340"/>
    </row>
    <row r="93" spans="1:23" ht="12.75">
      <c r="A93" s="53">
        <v>3</v>
      </c>
      <c r="B93" s="9"/>
      <c r="C93" s="9"/>
      <c r="D93" s="10" t="s">
        <v>24</v>
      </c>
      <c r="E93" s="9"/>
      <c r="F93" s="10" t="s">
        <v>25</v>
      </c>
      <c r="G93" s="9">
        <v>13</v>
      </c>
      <c r="H93" s="9" t="s">
        <v>21</v>
      </c>
      <c r="I93" s="322">
        <f t="shared" si="34"/>
        <v>4075.2212389380534</v>
      </c>
      <c r="J93" s="322">
        <f t="shared" si="35"/>
        <v>4189.573849557522</v>
      </c>
      <c r="K93" s="322">
        <f t="shared" si="42"/>
        <v>4605</v>
      </c>
      <c r="L93" s="322">
        <f t="shared" si="43"/>
        <v>4734.21845</v>
      </c>
      <c r="M93" s="32"/>
      <c r="N93" s="322">
        <f t="shared" si="36"/>
        <v>4075.2212389380534</v>
      </c>
      <c r="O93" s="322">
        <f t="shared" si="37"/>
        <v>4198.4234070796465</v>
      </c>
      <c r="P93" s="322">
        <f t="shared" si="44"/>
        <v>4605</v>
      </c>
      <c r="Q93" s="322">
        <f t="shared" si="45"/>
        <v>4744.21845</v>
      </c>
      <c r="R93" s="328"/>
      <c r="S93" s="113">
        <f t="shared" si="38"/>
        <v>4075.221238938053</v>
      </c>
      <c r="T93" s="113">
        <f t="shared" si="39"/>
        <v>4153.928296036203</v>
      </c>
      <c r="U93" s="113">
        <f t="shared" si="40"/>
        <v>4605</v>
      </c>
      <c r="V93" s="113">
        <f t="shared" si="41"/>
        <v>4692.491177272727</v>
      </c>
      <c r="W93" s="340"/>
    </row>
    <row r="94" spans="1:23" ht="36.75">
      <c r="A94" s="53">
        <v>4</v>
      </c>
      <c r="B94" s="9"/>
      <c r="C94" s="6" t="s">
        <v>26</v>
      </c>
      <c r="D94" s="11" t="s">
        <v>27</v>
      </c>
      <c r="E94" s="9">
        <v>2001002</v>
      </c>
      <c r="F94" s="21" t="s">
        <v>28</v>
      </c>
      <c r="G94" s="9">
        <v>13</v>
      </c>
      <c r="H94" s="7" t="s">
        <v>21</v>
      </c>
      <c r="I94" s="318">
        <f t="shared" si="34"/>
        <v>3819.0265486725666</v>
      </c>
      <c r="J94" s="318">
        <f t="shared" si="35"/>
        <v>3931.457699115045</v>
      </c>
      <c r="K94" s="318">
        <f t="shared" si="42"/>
        <v>4315.5</v>
      </c>
      <c r="L94" s="318">
        <f t="shared" si="43"/>
        <v>4442.547200000001</v>
      </c>
      <c r="M94" s="33"/>
      <c r="N94" s="318">
        <f t="shared" si="36"/>
        <v>3819.0265486725666</v>
      </c>
      <c r="O94" s="318">
        <f t="shared" si="37"/>
        <v>3940.3072566371693</v>
      </c>
      <c r="P94" s="318">
        <f t="shared" si="44"/>
        <v>4315.5</v>
      </c>
      <c r="Q94" s="318">
        <f t="shared" si="45"/>
        <v>4452.547200000001</v>
      </c>
      <c r="R94" s="113"/>
      <c r="S94" s="157">
        <f t="shared" si="38"/>
        <v>3819.0265486725666</v>
      </c>
      <c r="T94" s="157">
        <f t="shared" si="39"/>
        <v>3895.7376162292853</v>
      </c>
      <c r="U94" s="157">
        <f t="shared" si="40"/>
        <v>4315.5</v>
      </c>
      <c r="V94" s="157">
        <f t="shared" si="41"/>
        <v>4400.819927272728</v>
      </c>
      <c r="W94" s="340"/>
    </row>
    <row r="95" spans="1:23" ht="12.75">
      <c r="A95" s="53">
        <v>5</v>
      </c>
      <c r="B95" s="9"/>
      <c r="C95" s="9"/>
      <c r="D95" s="10" t="s">
        <v>29</v>
      </c>
      <c r="E95" s="9"/>
      <c r="F95" s="10" t="s">
        <v>30</v>
      </c>
      <c r="G95" s="9">
        <v>13</v>
      </c>
      <c r="H95" s="9" t="s">
        <v>21</v>
      </c>
      <c r="I95" s="322">
        <f t="shared" si="34"/>
        <v>3922.5663716814165</v>
      </c>
      <c r="J95" s="322">
        <f t="shared" si="35"/>
        <v>4035.774070796461</v>
      </c>
      <c r="K95" s="322">
        <f t="shared" si="42"/>
        <v>4432.5</v>
      </c>
      <c r="L95" s="322">
        <f t="shared" si="43"/>
        <v>4560.4247000000005</v>
      </c>
      <c r="M95" s="32"/>
      <c r="N95" s="322">
        <f t="shared" si="36"/>
        <v>3922.5663716814165</v>
      </c>
      <c r="O95" s="322">
        <f t="shared" si="37"/>
        <v>4044.623628318585</v>
      </c>
      <c r="P95" s="322">
        <f t="shared" si="44"/>
        <v>4432.5</v>
      </c>
      <c r="Q95" s="322">
        <f t="shared" si="45"/>
        <v>4570.4247000000005</v>
      </c>
      <c r="R95" s="328"/>
      <c r="S95" s="113">
        <f t="shared" si="38"/>
        <v>3922.5663716814165</v>
      </c>
      <c r="T95" s="113">
        <f t="shared" si="39"/>
        <v>4000.0841085864854</v>
      </c>
      <c r="U95" s="113">
        <f t="shared" si="40"/>
        <v>4432.5</v>
      </c>
      <c r="V95" s="113">
        <f t="shared" si="41"/>
        <v>4518.697427272728</v>
      </c>
      <c r="W95" s="340"/>
    </row>
    <row r="96" spans="1:23" ht="12.75">
      <c r="A96" s="53">
        <v>6</v>
      </c>
      <c r="B96" s="9"/>
      <c r="C96" s="9"/>
      <c r="D96" s="10" t="s">
        <v>29</v>
      </c>
      <c r="E96" s="9"/>
      <c r="F96" s="10" t="s">
        <v>31</v>
      </c>
      <c r="G96" s="9">
        <v>13</v>
      </c>
      <c r="H96" s="9" t="s">
        <v>21</v>
      </c>
      <c r="I96" s="322">
        <f t="shared" si="34"/>
        <v>3825.2212389380534</v>
      </c>
      <c r="J96" s="322">
        <f t="shared" si="35"/>
        <v>3937.698849557523</v>
      </c>
      <c r="K96" s="322">
        <f t="shared" si="42"/>
        <v>4322.5</v>
      </c>
      <c r="L96" s="322">
        <f t="shared" si="43"/>
        <v>4449.599700000001</v>
      </c>
      <c r="M96" s="32"/>
      <c r="N96" s="322">
        <f t="shared" si="36"/>
        <v>3825.2212389380534</v>
      </c>
      <c r="O96" s="322">
        <f t="shared" si="37"/>
        <v>3946.548407079647</v>
      </c>
      <c r="P96" s="322">
        <f t="shared" si="44"/>
        <v>4322.5</v>
      </c>
      <c r="Q96" s="322">
        <f t="shared" si="45"/>
        <v>4459.599700000001</v>
      </c>
      <c r="R96" s="328"/>
      <c r="S96" s="113">
        <f t="shared" si="38"/>
        <v>3825.221238938053</v>
      </c>
      <c r="T96" s="113">
        <f t="shared" si="39"/>
        <v>3901.9805687634757</v>
      </c>
      <c r="U96" s="113">
        <f t="shared" si="40"/>
        <v>4322.5</v>
      </c>
      <c r="V96" s="113">
        <f t="shared" si="41"/>
        <v>4407.872427272727</v>
      </c>
      <c r="W96" s="340"/>
    </row>
    <row r="97" spans="1:23" ht="12.75">
      <c r="A97" s="53">
        <v>7</v>
      </c>
      <c r="B97" s="9"/>
      <c r="C97" s="9"/>
      <c r="D97" s="10" t="s">
        <v>29</v>
      </c>
      <c r="E97" s="9"/>
      <c r="F97" s="10" t="s">
        <v>32</v>
      </c>
      <c r="G97" s="9">
        <v>13</v>
      </c>
      <c r="H97" s="9" t="s">
        <v>21</v>
      </c>
      <c r="I97" s="322">
        <f t="shared" si="34"/>
        <v>3780.973451327434</v>
      </c>
      <c r="J97" s="322">
        <f t="shared" si="35"/>
        <v>3893.119203539824</v>
      </c>
      <c r="K97" s="322">
        <f t="shared" si="42"/>
        <v>4272.5</v>
      </c>
      <c r="L97" s="322">
        <f t="shared" si="43"/>
        <v>4399.224700000001</v>
      </c>
      <c r="M97" s="32"/>
      <c r="N97" s="322">
        <f t="shared" si="36"/>
        <v>3780.973451327434</v>
      </c>
      <c r="O97" s="322">
        <f t="shared" si="37"/>
        <v>3901.968761061948</v>
      </c>
      <c r="P97" s="322">
        <f t="shared" si="44"/>
        <v>4272.5</v>
      </c>
      <c r="Q97" s="322">
        <f t="shared" si="45"/>
        <v>4409.224700000001</v>
      </c>
      <c r="R97" s="328"/>
      <c r="S97" s="113">
        <f t="shared" si="38"/>
        <v>3780.9734513274334</v>
      </c>
      <c r="T97" s="113">
        <f t="shared" si="39"/>
        <v>3857.388050662109</v>
      </c>
      <c r="U97" s="113">
        <f t="shared" si="40"/>
        <v>4272.5</v>
      </c>
      <c r="V97" s="113">
        <f t="shared" si="41"/>
        <v>4357.497427272727</v>
      </c>
      <c r="W97" s="340"/>
    </row>
    <row r="98" spans="1:23" ht="12.75">
      <c r="A98" s="53">
        <v>8</v>
      </c>
      <c r="B98" s="9"/>
      <c r="C98" s="9"/>
      <c r="D98" s="10" t="s">
        <v>29</v>
      </c>
      <c r="E98" s="9"/>
      <c r="F98" s="10" t="s">
        <v>33</v>
      </c>
      <c r="G98" s="9">
        <v>13</v>
      </c>
      <c r="H98" s="9" t="s">
        <v>21</v>
      </c>
      <c r="I98" s="322">
        <f t="shared" si="34"/>
        <v>3834.0707964601775</v>
      </c>
      <c r="J98" s="322">
        <f t="shared" si="35"/>
        <v>3946.6147787610626</v>
      </c>
      <c r="K98" s="322">
        <f t="shared" si="42"/>
        <v>4332.5</v>
      </c>
      <c r="L98" s="322">
        <f t="shared" si="43"/>
        <v>4459.6747000000005</v>
      </c>
      <c r="M98" s="32"/>
      <c r="N98" s="322">
        <f t="shared" si="36"/>
        <v>3834.0707964601775</v>
      </c>
      <c r="O98" s="322">
        <f t="shared" si="37"/>
        <v>3955.4643362831866</v>
      </c>
      <c r="P98" s="322">
        <f t="shared" si="44"/>
        <v>4332.5</v>
      </c>
      <c r="Q98" s="322">
        <f t="shared" si="45"/>
        <v>4469.6747000000005</v>
      </c>
      <c r="R98" s="328"/>
      <c r="S98" s="113">
        <f t="shared" si="38"/>
        <v>3834.070796460177</v>
      </c>
      <c r="T98" s="113">
        <f t="shared" si="39"/>
        <v>3910.899072383749</v>
      </c>
      <c r="U98" s="113">
        <f t="shared" si="40"/>
        <v>4332.5</v>
      </c>
      <c r="V98" s="113">
        <f t="shared" si="41"/>
        <v>4417.947427272728</v>
      </c>
      <c r="W98" s="340"/>
    </row>
    <row r="99" spans="1:23" ht="27.75" customHeight="1">
      <c r="A99" s="53">
        <v>9</v>
      </c>
      <c r="B99" s="9"/>
      <c r="C99" s="6" t="s">
        <v>34</v>
      </c>
      <c r="D99" s="11" t="s">
        <v>35</v>
      </c>
      <c r="E99" s="9">
        <v>2003004</v>
      </c>
      <c r="F99" s="21" t="s">
        <v>147</v>
      </c>
      <c r="G99" s="9">
        <v>13</v>
      </c>
      <c r="H99" s="7" t="s">
        <v>21</v>
      </c>
      <c r="I99" s="318">
        <f t="shared" si="34"/>
        <v>3988.95575221239</v>
      </c>
      <c r="J99" s="318">
        <f t="shared" si="35"/>
        <v>4102.661371681416</v>
      </c>
      <c r="K99" s="318">
        <f t="shared" si="42"/>
        <v>4507.52</v>
      </c>
      <c r="L99" s="318">
        <f t="shared" si="43"/>
        <v>4636.00735</v>
      </c>
      <c r="M99" s="33"/>
      <c r="N99" s="318">
        <f t="shared" si="36"/>
        <v>3988.95575221239</v>
      </c>
      <c r="O99" s="318">
        <f t="shared" si="37"/>
        <v>4111.51092920354</v>
      </c>
      <c r="P99" s="318">
        <f t="shared" si="44"/>
        <v>4507.52</v>
      </c>
      <c r="Q99" s="318">
        <f t="shared" si="45"/>
        <v>4646.00735</v>
      </c>
      <c r="R99" s="113"/>
      <c r="S99" s="157">
        <f t="shared" si="38"/>
        <v>3988.9557522123896</v>
      </c>
      <c r="T99" s="157">
        <f t="shared" si="39"/>
        <v>4066.9907227457766</v>
      </c>
      <c r="U99" s="157">
        <f t="shared" si="40"/>
        <v>4507.520000000001</v>
      </c>
      <c r="V99" s="157">
        <f t="shared" si="41"/>
        <v>4594.280077272727</v>
      </c>
      <c r="W99" s="340"/>
    </row>
    <row r="100" spans="1:23" ht="12.75">
      <c r="A100" s="53">
        <v>10</v>
      </c>
      <c r="B100" s="9"/>
      <c r="C100" s="9"/>
      <c r="D100" s="10" t="s">
        <v>128</v>
      </c>
      <c r="E100" s="9"/>
      <c r="F100" s="13" t="s">
        <v>38</v>
      </c>
      <c r="G100" s="9">
        <v>13</v>
      </c>
      <c r="H100" s="9" t="s">
        <v>21</v>
      </c>
      <c r="I100" s="322">
        <f t="shared" si="34"/>
        <v>4020.3539823008855</v>
      </c>
      <c r="J100" s="322">
        <f t="shared" si="35"/>
        <v>4134.295088495575</v>
      </c>
      <c r="K100" s="322">
        <f t="shared" si="42"/>
        <v>4543</v>
      </c>
      <c r="L100" s="322">
        <f t="shared" si="43"/>
        <v>4671.75345</v>
      </c>
      <c r="M100" s="32"/>
      <c r="N100" s="322">
        <f t="shared" si="36"/>
        <v>4020.3539823008855</v>
      </c>
      <c r="O100" s="322">
        <f t="shared" si="37"/>
        <v>4143.144646017699</v>
      </c>
      <c r="P100" s="322">
        <f t="shared" si="44"/>
        <v>4543</v>
      </c>
      <c r="Q100" s="322">
        <f t="shared" si="45"/>
        <v>4681.75345</v>
      </c>
      <c r="R100" s="328"/>
      <c r="S100" s="113">
        <f t="shared" si="38"/>
        <v>4020.353982300885</v>
      </c>
      <c r="T100" s="113">
        <f t="shared" si="39"/>
        <v>4098.633573590507</v>
      </c>
      <c r="U100" s="113">
        <f t="shared" si="40"/>
        <v>4543</v>
      </c>
      <c r="V100" s="113">
        <f t="shared" si="41"/>
        <v>4630.026177272728</v>
      </c>
      <c r="W100" s="340"/>
    </row>
    <row r="101" spans="1:23" ht="12.75">
      <c r="A101" s="53">
        <v>11</v>
      </c>
      <c r="B101" s="9"/>
      <c r="C101" s="9"/>
      <c r="D101" s="10" t="s">
        <v>129</v>
      </c>
      <c r="E101" s="9"/>
      <c r="F101" s="13" t="s">
        <v>40</v>
      </c>
      <c r="G101" s="9">
        <v>13</v>
      </c>
      <c r="H101" s="9" t="s">
        <v>21</v>
      </c>
      <c r="I101" s="322">
        <f t="shared" si="34"/>
        <v>3976.106194690266</v>
      </c>
      <c r="J101" s="322">
        <f t="shared" si="35"/>
        <v>4089.7154424778764</v>
      </c>
      <c r="K101" s="322">
        <f t="shared" si="42"/>
        <v>4493</v>
      </c>
      <c r="L101" s="322">
        <f t="shared" si="43"/>
        <v>4621.37845</v>
      </c>
      <c r="M101" s="32"/>
      <c r="N101" s="322">
        <f t="shared" si="36"/>
        <v>3976.106194690266</v>
      </c>
      <c r="O101" s="322">
        <f t="shared" si="37"/>
        <v>4098.5650000000005</v>
      </c>
      <c r="P101" s="322">
        <f t="shared" si="44"/>
        <v>4493</v>
      </c>
      <c r="Q101" s="322">
        <f t="shared" si="45"/>
        <v>4631.37845</v>
      </c>
      <c r="R101" s="328"/>
      <c r="S101" s="113">
        <f t="shared" si="38"/>
        <v>3976.1061946902655</v>
      </c>
      <c r="T101" s="113">
        <f t="shared" si="39"/>
        <v>4054.0410554891405</v>
      </c>
      <c r="U101" s="113">
        <f t="shared" si="40"/>
        <v>4493</v>
      </c>
      <c r="V101" s="113">
        <f t="shared" si="41"/>
        <v>4579.651177272728</v>
      </c>
      <c r="W101" s="340"/>
    </row>
    <row r="102" spans="1:23" ht="12.75">
      <c r="A102" s="53">
        <v>12</v>
      </c>
      <c r="B102" s="9"/>
      <c r="C102" s="9"/>
      <c r="D102" s="10" t="s">
        <v>130</v>
      </c>
      <c r="E102" s="9"/>
      <c r="F102" s="13" t="s">
        <v>42</v>
      </c>
      <c r="G102" s="9">
        <v>13</v>
      </c>
      <c r="H102" s="9" t="s">
        <v>21</v>
      </c>
      <c r="I102" s="322">
        <f t="shared" si="34"/>
        <v>3991.1504424778764</v>
      </c>
      <c r="J102" s="322">
        <f t="shared" si="35"/>
        <v>4104.872522123895</v>
      </c>
      <c r="K102" s="322">
        <f t="shared" si="42"/>
        <v>4510</v>
      </c>
      <c r="L102" s="322">
        <f t="shared" si="43"/>
        <v>4638.505950000001</v>
      </c>
      <c r="M102" s="32"/>
      <c r="N102" s="322">
        <f t="shared" si="36"/>
        <v>3991.1504424778764</v>
      </c>
      <c r="O102" s="322">
        <f t="shared" si="37"/>
        <v>4113.722079646019</v>
      </c>
      <c r="P102" s="322">
        <f t="shared" si="44"/>
        <v>4510</v>
      </c>
      <c r="Q102" s="322">
        <f t="shared" si="45"/>
        <v>4648.505950000001</v>
      </c>
      <c r="R102" s="328"/>
      <c r="S102" s="113">
        <f t="shared" si="38"/>
        <v>3991.1504424778764</v>
      </c>
      <c r="T102" s="113">
        <f t="shared" si="39"/>
        <v>4069.202511643605</v>
      </c>
      <c r="U102" s="113">
        <f t="shared" si="40"/>
        <v>4510</v>
      </c>
      <c r="V102" s="113">
        <f t="shared" si="41"/>
        <v>4596.778677272727</v>
      </c>
      <c r="W102" s="340"/>
    </row>
    <row r="103" spans="1:23" ht="12.75">
      <c r="A103" s="53">
        <v>13</v>
      </c>
      <c r="B103" s="9"/>
      <c r="C103" s="59" t="s">
        <v>131</v>
      </c>
      <c r="D103" s="198"/>
      <c r="E103" s="9">
        <v>2003005</v>
      </c>
      <c r="F103" s="13" t="s">
        <v>44</v>
      </c>
      <c r="G103" s="9">
        <v>13</v>
      </c>
      <c r="H103" s="9" t="s">
        <v>21</v>
      </c>
      <c r="I103" s="322">
        <f t="shared" si="34"/>
        <v>4122.12389380531</v>
      </c>
      <c r="J103" s="322">
        <f t="shared" si="35"/>
        <v>4236.828274336284</v>
      </c>
      <c r="K103" s="322">
        <f t="shared" si="42"/>
        <v>4658</v>
      </c>
      <c r="L103" s="322">
        <f t="shared" si="43"/>
        <v>4787.61595</v>
      </c>
      <c r="M103" s="32"/>
      <c r="N103" s="322">
        <f t="shared" si="36"/>
        <v>4122.12389380531</v>
      </c>
      <c r="O103" s="322">
        <f t="shared" si="37"/>
        <v>4245.677831858407</v>
      </c>
      <c r="P103" s="322">
        <f t="shared" si="44"/>
        <v>4658</v>
      </c>
      <c r="Q103" s="322">
        <f t="shared" si="45"/>
        <v>4797.61595</v>
      </c>
      <c r="R103" s="328"/>
      <c r="S103" s="113">
        <f t="shared" si="38"/>
        <v>4122.123893805311</v>
      </c>
      <c r="T103" s="113">
        <f t="shared" si="39"/>
        <v>4201.196365223653</v>
      </c>
      <c r="U103" s="113">
        <f t="shared" si="40"/>
        <v>4658</v>
      </c>
      <c r="V103" s="113">
        <f t="shared" si="41"/>
        <v>4745.888677272727</v>
      </c>
      <c r="W103" s="340"/>
    </row>
    <row r="104" spans="1:23" ht="27.75" customHeight="1">
      <c r="A104" s="53">
        <v>14</v>
      </c>
      <c r="B104" s="9"/>
      <c r="C104" s="6" t="s">
        <v>45</v>
      </c>
      <c r="D104" s="11" t="s">
        <v>46</v>
      </c>
      <c r="E104" s="25"/>
      <c r="F104" s="21" t="s">
        <v>47</v>
      </c>
      <c r="G104" s="9">
        <v>13</v>
      </c>
      <c r="H104" s="7" t="s">
        <v>21</v>
      </c>
      <c r="I104" s="318">
        <f t="shared" si="34"/>
        <v>4519.29203539823</v>
      </c>
      <c r="J104" s="318">
        <f t="shared" si="35"/>
        <v>4636.975176991151</v>
      </c>
      <c r="K104" s="318">
        <f t="shared" si="42"/>
        <v>5106.799999999999</v>
      </c>
      <c r="L104" s="318">
        <f t="shared" si="43"/>
        <v>5239.7819500000005</v>
      </c>
      <c r="M104" s="157"/>
      <c r="N104" s="318">
        <f t="shared" si="36"/>
        <v>4519.29203539823</v>
      </c>
      <c r="O104" s="318">
        <f t="shared" si="37"/>
        <v>4645.824734513275</v>
      </c>
      <c r="P104" s="318">
        <f t="shared" si="44"/>
        <v>5106.799999999999</v>
      </c>
      <c r="Q104" s="318">
        <f t="shared" si="45"/>
        <v>5249.7819500000005</v>
      </c>
      <c r="R104" s="157"/>
      <c r="S104" s="157">
        <f t="shared" si="38"/>
        <v>4519.292035398231</v>
      </c>
      <c r="T104" s="157">
        <f t="shared" si="39"/>
        <v>4601.45880770153</v>
      </c>
      <c r="U104" s="157">
        <f t="shared" si="40"/>
        <v>5106.8</v>
      </c>
      <c r="V104" s="157">
        <f t="shared" si="41"/>
        <v>5198.054677272728</v>
      </c>
      <c r="W104" s="341"/>
    </row>
    <row r="105" spans="1:23" ht="12.75">
      <c r="A105" s="53">
        <v>15</v>
      </c>
      <c r="B105" s="9"/>
      <c r="C105" s="9"/>
      <c r="D105" s="10" t="s">
        <v>48</v>
      </c>
      <c r="E105" s="25"/>
      <c r="F105" s="10" t="s">
        <v>49</v>
      </c>
      <c r="G105" s="9">
        <v>13</v>
      </c>
      <c r="H105" s="9" t="s">
        <v>21</v>
      </c>
      <c r="I105" s="322">
        <f t="shared" si="34"/>
        <v>4197.345132743363</v>
      </c>
      <c r="J105" s="322">
        <f t="shared" si="35"/>
        <v>4312.613672566372</v>
      </c>
      <c r="K105" s="322">
        <f t="shared" si="42"/>
        <v>4743</v>
      </c>
      <c r="L105" s="322">
        <f t="shared" si="43"/>
        <v>4873.25345</v>
      </c>
      <c r="M105" s="31"/>
      <c r="N105" s="322">
        <f t="shared" si="36"/>
        <v>4197.345132743363</v>
      </c>
      <c r="O105" s="322">
        <f t="shared" si="37"/>
        <v>4321.463230088496</v>
      </c>
      <c r="P105" s="322">
        <f t="shared" si="44"/>
        <v>4743</v>
      </c>
      <c r="Q105" s="322">
        <f t="shared" si="45"/>
        <v>4883.25345</v>
      </c>
      <c r="R105" s="328"/>
      <c r="S105" s="113">
        <f t="shared" si="38"/>
        <v>4197.345132743364</v>
      </c>
      <c r="T105" s="113">
        <f t="shared" si="39"/>
        <v>4277.003645995978</v>
      </c>
      <c r="U105" s="113">
        <f t="shared" si="40"/>
        <v>4743</v>
      </c>
      <c r="V105" s="113">
        <f t="shared" si="41"/>
        <v>4831.526177272728</v>
      </c>
      <c r="W105" s="340"/>
    </row>
    <row r="106" spans="1:23" ht="12.75">
      <c r="A106" s="53">
        <v>16</v>
      </c>
      <c r="B106" s="9"/>
      <c r="C106" s="9"/>
      <c r="D106" s="10" t="s">
        <v>50</v>
      </c>
      <c r="E106" s="25">
        <v>2003009</v>
      </c>
      <c r="F106" s="10" t="s">
        <v>51</v>
      </c>
      <c r="G106" s="9">
        <v>13</v>
      </c>
      <c r="H106" s="9" t="s">
        <v>21</v>
      </c>
      <c r="I106" s="322">
        <f t="shared" si="34"/>
        <v>4738.938053097346</v>
      </c>
      <c r="J106" s="322">
        <f t="shared" si="35"/>
        <v>4858.26853982301</v>
      </c>
      <c r="K106" s="322">
        <f t="shared" si="42"/>
        <v>5355</v>
      </c>
      <c r="L106" s="322">
        <f t="shared" si="43"/>
        <v>5489.84345</v>
      </c>
      <c r="M106" s="31"/>
      <c r="N106" s="322">
        <f t="shared" si="36"/>
        <v>4738.938053097346</v>
      </c>
      <c r="O106" s="322">
        <f t="shared" si="37"/>
        <v>4867.118097345134</v>
      </c>
      <c r="P106" s="322">
        <f t="shared" si="44"/>
        <v>5355</v>
      </c>
      <c r="Q106" s="322">
        <f t="shared" si="45"/>
        <v>5499.84345</v>
      </c>
      <c r="R106" s="328"/>
      <c r="S106" s="113">
        <f t="shared" si="38"/>
        <v>4738.938053097345</v>
      </c>
      <c r="T106" s="113">
        <f t="shared" si="39"/>
        <v>4822.816067556718</v>
      </c>
      <c r="U106" s="113">
        <f t="shared" si="40"/>
        <v>5355</v>
      </c>
      <c r="V106" s="113">
        <f t="shared" si="41"/>
        <v>5448.116177272727</v>
      </c>
      <c r="W106" s="340"/>
    </row>
    <row r="107" spans="1:23" ht="12.75">
      <c r="A107" s="53">
        <v>17</v>
      </c>
      <c r="B107" s="9"/>
      <c r="C107" s="9"/>
      <c r="D107" s="10" t="s">
        <v>52</v>
      </c>
      <c r="E107" s="25">
        <v>2003008</v>
      </c>
      <c r="F107" s="10" t="s">
        <v>53</v>
      </c>
      <c r="G107" s="9">
        <v>13</v>
      </c>
      <c r="H107" s="9" t="s">
        <v>21</v>
      </c>
      <c r="I107" s="322">
        <f t="shared" si="34"/>
        <v>5265.486725663717</v>
      </c>
      <c r="J107" s="322">
        <f t="shared" si="35"/>
        <v>5388.766327433629</v>
      </c>
      <c r="K107" s="322">
        <f t="shared" si="42"/>
        <v>5950</v>
      </c>
      <c r="L107" s="322">
        <f t="shared" si="43"/>
        <v>6089.305950000001</v>
      </c>
      <c r="M107" s="32"/>
      <c r="N107" s="322">
        <f t="shared" si="36"/>
        <v>5265.486725663717</v>
      </c>
      <c r="O107" s="322">
        <f t="shared" si="37"/>
        <v>5397.615884955753</v>
      </c>
      <c r="P107" s="322">
        <f t="shared" si="44"/>
        <v>5950</v>
      </c>
      <c r="Q107" s="322">
        <f t="shared" si="45"/>
        <v>6099.305950000001</v>
      </c>
      <c r="R107" s="328"/>
      <c r="S107" s="113">
        <f t="shared" si="38"/>
        <v>5265.486725663716</v>
      </c>
      <c r="T107" s="113">
        <f t="shared" si="39"/>
        <v>5353.467032962994</v>
      </c>
      <c r="U107" s="113">
        <f t="shared" si="40"/>
        <v>5950</v>
      </c>
      <c r="V107" s="113">
        <f t="shared" si="41"/>
        <v>6047.578677272729</v>
      </c>
      <c r="W107" s="340"/>
    </row>
    <row r="108" spans="1:23" ht="12.75">
      <c r="A108" s="53">
        <v>18</v>
      </c>
      <c r="B108" s="9"/>
      <c r="C108" s="10" t="s">
        <v>54</v>
      </c>
      <c r="D108" s="13"/>
      <c r="E108" s="9">
        <v>2001006</v>
      </c>
      <c r="F108" s="13"/>
      <c r="G108" s="9">
        <v>13</v>
      </c>
      <c r="H108" s="9" t="s">
        <v>21</v>
      </c>
      <c r="I108" s="322">
        <f t="shared" si="34"/>
        <v>5433.628318584071</v>
      </c>
      <c r="J108" s="322">
        <f t="shared" si="35"/>
        <v>5558.168982300886</v>
      </c>
      <c r="K108" s="322">
        <f t="shared" si="42"/>
        <v>6140</v>
      </c>
      <c r="L108" s="322">
        <f t="shared" si="43"/>
        <v>6280.73095</v>
      </c>
      <c r="M108" s="113"/>
      <c r="N108" s="322">
        <f t="shared" si="36"/>
        <v>5433.628318584071</v>
      </c>
      <c r="O108" s="322">
        <f t="shared" si="37"/>
        <v>5567.01853982301</v>
      </c>
      <c r="P108" s="322">
        <f t="shared" si="44"/>
        <v>6140</v>
      </c>
      <c r="Q108" s="322">
        <f t="shared" si="45"/>
        <v>6290.73095</v>
      </c>
      <c r="R108" s="328"/>
      <c r="S108" s="113">
        <f t="shared" si="38"/>
        <v>5433.628318584072</v>
      </c>
      <c r="T108" s="113">
        <f t="shared" si="39"/>
        <v>5522.918601748192</v>
      </c>
      <c r="U108" s="113">
        <f t="shared" si="40"/>
        <v>6140</v>
      </c>
      <c r="V108" s="113">
        <f t="shared" si="41"/>
        <v>6239.003677272726</v>
      </c>
      <c r="W108" s="340"/>
    </row>
    <row r="109" spans="1:23" ht="13.5">
      <c r="A109" s="53">
        <v>19</v>
      </c>
      <c r="B109" s="9"/>
      <c r="C109" s="10" t="s">
        <v>55</v>
      </c>
      <c r="D109" s="13"/>
      <c r="E109" s="9">
        <v>2001008</v>
      </c>
      <c r="F109" s="10" t="s">
        <v>56</v>
      </c>
      <c r="G109" s="9">
        <v>13</v>
      </c>
      <c r="H109" s="9" t="s">
        <v>21</v>
      </c>
      <c r="I109" s="322">
        <f t="shared" si="34"/>
        <v>5079.646017699116</v>
      </c>
      <c r="J109" s="322">
        <f t="shared" si="35"/>
        <v>5201.5318141592925</v>
      </c>
      <c r="K109" s="322">
        <f t="shared" si="42"/>
        <v>5740</v>
      </c>
      <c r="L109" s="322">
        <f t="shared" si="43"/>
        <v>5877.73095</v>
      </c>
      <c r="M109" s="325"/>
      <c r="N109" s="322">
        <f t="shared" si="36"/>
        <v>5079.646017699116</v>
      </c>
      <c r="O109" s="322">
        <f t="shared" si="37"/>
        <v>5210.381371681417</v>
      </c>
      <c r="P109" s="322">
        <f t="shared" si="44"/>
        <v>5740</v>
      </c>
      <c r="Q109" s="322">
        <f t="shared" si="45"/>
        <v>5887.73095</v>
      </c>
      <c r="R109" s="328"/>
      <c r="S109" s="113">
        <f t="shared" si="38"/>
        <v>5079.646017699116</v>
      </c>
      <c r="T109" s="113">
        <f t="shared" si="39"/>
        <v>5166.178456937249</v>
      </c>
      <c r="U109" s="113">
        <f t="shared" si="40"/>
        <v>5740</v>
      </c>
      <c r="V109" s="113">
        <f t="shared" si="41"/>
        <v>5836.003677272726</v>
      </c>
      <c r="W109" s="340"/>
    </row>
    <row r="110" spans="1:23" ht="27.75" customHeight="1">
      <c r="A110" s="53">
        <v>20</v>
      </c>
      <c r="B110" s="6" t="s">
        <v>57</v>
      </c>
      <c r="C110" s="11" t="s">
        <v>58</v>
      </c>
      <c r="D110" s="14"/>
      <c r="E110" s="7"/>
      <c r="F110" s="21" t="s">
        <v>135</v>
      </c>
      <c r="G110" s="9">
        <v>13</v>
      </c>
      <c r="H110" s="7" t="s">
        <v>21</v>
      </c>
      <c r="I110" s="157">
        <f>I111*0.1+I112*0.6+I113*0.3</f>
        <v>491.15044247787614</v>
      </c>
      <c r="J110" s="157">
        <f>J111*0.1+J112*0.6+J113*0.3</f>
        <v>513.2446396530974</v>
      </c>
      <c r="K110" s="157">
        <f>K111*0.1+K112*0.6+K113*0.3</f>
        <v>555</v>
      </c>
      <c r="L110" s="157">
        <f>L111*0.1+L112*0.6+L113*0.3</f>
        <v>579.025223</v>
      </c>
      <c r="M110" s="157"/>
      <c r="N110" s="157">
        <f>N111*0.1+N112*0.6+N113*0.3</f>
        <v>491.15044247787614</v>
      </c>
      <c r="O110" s="157">
        <f>O111*0.1+O112*0.6+O113*0.3</f>
        <v>513.2446396530974</v>
      </c>
      <c r="P110" s="157">
        <f>P111*0.1+P112*0.6+P113*0.3</f>
        <v>555</v>
      </c>
      <c r="Q110" s="157">
        <f>Q111*0.1+Q112*0.6+Q113*0.3</f>
        <v>579.025223</v>
      </c>
      <c r="R110" s="157"/>
      <c r="S110" s="157">
        <f>S111*0.1+S112*0.6+S113*0.3</f>
        <v>479.08286403861626</v>
      </c>
      <c r="T110" s="157">
        <f>T111*0.1+T112*0.6+T113*0.3</f>
        <v>500.8613733618664</v>
      </c>
      <c r="U110" s="157">
        <f>U111*0.1+U112*0.6+U113*0.3</f>
        <v>541.3636363636364</v>
      </c>
      <c r="V110" s="157">
        <f>V111*0.1+V112*0.6+V113*0.3</f>
        <v>565.0459048181818</v>
      </c>
      <c r="W110" s="341"/>
    </row>
    <row r="111" spans="1:23" ht="15" customHeight="1">
      <c r="A111" s="53">
        <v>22</v>
      </c>
      <c r="B111" s="9"/>
      <c r="C111" s="13" t="s">
        <v>60</v>
      </c>
      <c r="D111" s="13"/>
      <c r="E111" s="9"/>
      <c r="F111" s="10" t="s">
        <v>62</v>
      </c>
      <c r="G111" s="9">
        <v>13</v>
      </c>
      <c r="H111" s="9" t="s">
        <v>21</v>
      </c>
      <c r="I111" s="23">
        <f>K111/1.13</f>
        <v>438.0530973451328</v>
      </c>
      <c r="J111" s="23">
        <f>(I111+9.01)*1.016*1.01</f>
        <v>458.7582679716815</v>
      </c>
      <c r="K111" s="336">
        <f>K26+25</f>
        <v>495</v>
      </c>
      <c r="L111" s="23">
        <f>(K111+9.82)*1.015*1.01</f>
        <v>517.516223</v>
      </c>
      <c r="M111" s="327"/>
      <c r="N111" s="23">
        <f>P111/1.13</f>
        <v>438.0530973451328</v>
      </c>
      <c r="O111" s="23">
        <f>(N111+9.01)*1.016*1.01</f>
        <v>458.7582679716815</v>
      </c>
      <c r="P111" s="336">
        <f>K26+25</f>
        <v>495</v>
      </c>
      <c r="Q111" s="23">
        <f>(P111+9.82)*1.015*1.01</f>
        <v>517.516223</v>
      </c>
      <c r="R111" s="327"/>
      <c r="S111" s="113">
        <f aca="true" t="shared" si="46" ref="S111:V113">AVERAGE(I26,N26,S26,I55,N55,S55,I83,N83,S83,I111,N111)</f>
        <v>425.985518905873</v>
      </c>
      <c r="T111" s="113">
        <f t="shared" si="46"/>
        <v>446.3750016804506</v>
      </c>
      <c r="U111" s="113">
        <f t="shared" si="46"/>
        <v>481.3636363636364</v>
      </c>
      <c r="V111" s="113">
        <f>AVERAGE(L26,Q26,V26,L55,Q55,V55,L83,Q83,V83,L111,Q111)</f>
        <v>503.5369048181817</v>
      </c>
      <c r="W111" s="308"/>
    </row>
    <row r="112" spans="1:23" ht="15" customHeight="1">
      <c r="A112" s="53">
        <v>24</v>
      </c>
      <c r="B112" s="9"/>
      <c r="C112" s="13" t="s">
        <v>63</v>
      </c>
      <c r="D112" s="13"/>
      <c r="E112" s="9"/>
      <c r="F112" s="10" t="s">
        <v>62</v>
      </c>
      <c r="G112" s="9">
        <v>13</v>
      </c>
      <c r="H112" s="9" t="s">
        <v>21</v>
      </c>
      <c r="I112" s="23">
        <f>K112/1.13</f>
        <v>482.3008849557523</v>
      </c>
      <c r="J112" s="23">
        <f>(I112+9.01)*1.016*1.01</f>
        <v>504.16357770619476</v>
      </c>
      <c r="K112" s="336">
        <f>K27+25</f>
        <v>545</v>
      </c>
      <c r="L112" s="23">
        <f>(K112+9.82)*1.015*1.01</f>
        <v>568.773723</v>
      </c>
      <c r="M112" s="327"/>
      <c r="N112" s="23">
        <f>P112/1.13</f>
        <v>482.3008849557523</v>
      </c>
      <c r="O112" s="23">
        <f>(N112+9.01)*1.016*1.01</f>
        <v>504.16357770619476</v>
      </c>
      <c r="P112" s="336">
        <f>K27+25</f>
        <v>545</v>
      </c>
      <c r="Q112" s="23">
        <f>(P112+9.82)*1.015*1.01</f>
        <v>568.773723</v>
      </c>
      <c r="R112" s="327"/>
      <c r="S112" s="113">
        <f t="shared" si="46"/>
        <v>470.23330651649235</v>
      </c>
      <c r="T112" s="113">
        <f t="shared" si="46"/>
        <v>491.7803114149638</v>
      </c>
      <c r="U112" s="113">
        <f t="shared" si="46"/>
        <v>531.3636363636364</v>
      </c>
      <c r="V112" s="113">
        <f t="shared" si="46"/>
        <v>554.7944048181818</v>
      </c>
      <c r="W112" s="308"/>
    </row>
    <row r="113" spans="1:23" ht="15" customHeight="1">
      <c r="A113" s="53">
        <v>26</v>
      </c>
      <c r="B113" s="9"/>
      <c r="C113" s="13" t="s">
        <v>136</v>
      </c>
      <c r="D113" s="13"/>
      <c r="E113" s="9"/>
      <c r="F113" s="10" t="s">
        <v>62</v>
      </c>
      <c r="G113" s="9">
        <v>13</v>
      </c>
      <c r="H113" s="9" t="s">
        <v>21</v>
      </c>
      <c r="I113" s="23">
        <f>K113/1.13</f>
        <v>526.5486725663717</v>
      </c>
      <c r="J113" s="23">
        <f>(I113+9.01)*1.016*1.01</f>
        <v>549.5688874407081</v>
      </c>
      <c r="K113" s="336">
        <f>K28+25</f>
        <v>595</v>
      </c>
      <c r="L113" s="23">
        <f>(K113+9.82)*1.015*1.01</f>
        <v>620.031223</v>
      </c>
      <c r="M113" s="327"/>
      <c r="N113" s="23">
        <f>P113/1.13</f>
        <v>526.5486725663717</v>
      </c>
      <c r="O113" s="23">
        <f>(N113+9.01)*1.016*1.01</f>
        <v>549.5688874407081</v>
      </c>
      <c r="P113" s="336">
        <f>K28+25</f>
        <v>595</v>
      </c>
      <c r="Q113" s="23">
        <f>(P113+9.82)*1.015*1.01</f>
        <v>620.031223</v>
      </c>
      <c r="R113" s="327"/>
      <c r="S113" s="113">
        <f t="shared" si="46"/>
        <v>514.4810941271118</v>
      </c>
      <c r="T113" s="113">
        <f t="shared" si="46"/>
        <v>537.185621149477</v>
      </c>
      <c r="U113" s="113">
        <f t="shared" si="46"/>
        <v>581.3636363636364</v>
      </c>
      <c r="V113" s="113">
        <f t="shared" si="46"/>
        <v>606.0519048181818</v>
      </c>
      <c r="W113" s="308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9"/>
      <c r="N2" s="284"/>
      <c r="O2" s="284"/>
      <c r="P2" s="289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39"/>
      <c r="B4" s="139"/>
      <c r="C4" s="140"/>
      <c r="D4" s="141"/>
      <c r="E4" s="139"/>
      <c r="F4" s="139"/>
      <c r="G4" s="139"/>
      <c r="H4" s="221" t="s">
        <v>14</v>
      </c>
      <c r="I4" s="221" t="s">
        <v>15</v>
      </c>
      <c r="J4" s="285" t="s">
        <v>106</v>
      </c>
      <c r="K4" s="221" t="s">
        <v>14</v>
      </c>
      <c r="L4" s="221" t="s">
        <v>15</v>
      </c>
      <c r="M4" s="285" t="s">
        <v>106</v>
      </c>
      <c r="N4" s="221" t="s">
        <v>14</v>
      </c>
      <c r="O4" s="221" t="s">
        <v>15</v>
      </c>
      <c r="P4" s="285" t="s">
        <v>106</v>
      </c>
      <c r="Q4" s="221" t="s">
        <v>14</v>
      </c>
      <c r="R4" s="221" t="s">
        <v>15</v>
      </c>
      <c r="S4" s="285" t="s">
        <v>106</v>
      </c>
      <c r="T4" s="221" t="s">
        <v>14</v>
      </c>
      <c r="U4" s="221" t="s">
        <v>15</v>
      </c>
      <c r="V4" s="285" t="s">
        <v>106</v>
      </c>
      <c r="W4" s="221" t="s">
        <v>14</v>
      </c>
      <c r="X4" s="221" t="s">
        <v>15</v>
      </c>
      <c r="Y4" s="285" t="s">
        <v>106</v>
      </c>
      <c r="AA4" s="43" t="s">
        <v>14</v>
      </c>
      <c r="AB4" s="43" t="s">
        <v>15</v>
      </c>
      <c r="AC4" s="43" t="s">
        <v>106</v>
      </c>
    </row>
    <row r="5" spans="1:29" s="275" customFormat="1" ht="24.75" customHeight="1">
      <c r="A5" s="14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44" t="s">
        <v>21</v>
      </c>
      <c r="H5" s="82">
        <f>H6*0.8+H7*0.2</f>
        <v>2314</v>
      </c>
      <c r="I5" s="82">
        <f>I6*0.8+I7*0.2</f>
        <v>2379.16</v>
      </c>
      <c r="J5" s="149"/>
      <c r="K5" s="170"/>
      <c r="L5" s="170"/>
      <c r="M5" s="149"/>
      <c r="N5" s="170"/>
      <c r="O5" s="170"/>
      <c r="P5" s="149"/>
      <c r="Q5" s="170"/>
      <c r="R5" s="170"/>
      <c r="S5" s="149"/>
      <c r="T5" s="170"/>
      <c r="U5" s="170"/>
      <c r="V5" s="155"/>
      <c r="W5" s="170"/>
      <c r="X5" s="170"/>
      <c r="Y5" s="149"/>
      <c r="AA5" s="22">
        <f>(AA6*0.8+AA7*0.2)</f>
        <v>3552</v>
      </c>
      <c r="AB5" s="22">
        <f>(AB6*0.8+AB7*0.2)</f>
        <v>3641.6</v>
      </c>
      <c r="AC5" s="29"/>
    </row>
    <row r="6" spans="1:29" s="273" customFormat="1" ht="29.25" customHeight="1">
      <c r="A6" s="139">
        <v>2</v>
      </c>
      <c r="B6" s="9"/>
      <c r="C6" s="9"/>
      <c r="D6" s="10" t="s">
        <v>22</v>
      </c>
      <c r="E6" s="9"/>
      <c r="F6" s="10" t="s">
        <v>23</v>
      </c>
      <c r="G6" s="45" t="s">
        <v>21</v>
      </c>
      <c r="H6" s="112">
        <f>(2260+2300+2360+2310+2340)/5</f>
        <v>2314</v>
      </c>
      <c r="I6" s="23">
        <f aca="true" t="shared" si="0" ref="I6:I23">(H6+30)*1.015</f>
        <v>2379.16</v>
      </c>
      <c r="J6" s="150"/>
      <c r="K6" s="112"/>
      <c r="L6" s="23"/>
      <c r="M6" s="150"/>
      <c r="N6" s="112"/>
      <c r="O6" s="23"/>
      <c r="P6" s="150"/>
      <c r="Q6" s="112"/>
      <c r="R6" s="112"/>
      <c r="S6" s="150"/>
      <c r="T6" s="112"/>
      <c r="U6" s="112"/>
      <c r="V6" s="156"/>
      <c r="W6" s="112"/>
      <c r="X6" s="112"/>
      <c r="Y6" s="150"/>
      <c r="AA6" s="23">
        <v>3570</v>
      </c>
      <c r="AB6" s="23">
        <v>3660</v>
      </c>
      <c r="AC6" s="310" t="s">
        <v>156</v>
      </c>
    </row>
    <row r="7" spans="1:29" s="273" customFormat="1" ht="16.5" customHeight="1">
      <c r="A7" s="139">
        <v>3</v>
      </c>
      <c r="B7" s="9"/>
      <c r="C7" s="9"/>
      <c r="D7" s="10" t="s">
        <v>24</v>
      </c>
      <c r="E7" s="9"/>
      <c r="F7" s="10" t="s">
        <v>25</v>
      </c>
      <c r="G7" s="45" t="s">
        <v>21</v>
      </c>
      <c r="H7" s="112">
        <f>(2260+2300+2360+2310+2340)/5</f>
        <v>2314</v>
      </c>
      <c r="I7" s="23">
        <f t="shared" si="0"/>
        <v>2379.16</v>
      </c>
      <c r="J7" s="260" t="s">
        <v>89</v>
      </c>
      <c r="K7" s="112"/>
      <c r="L7" s="23"/>
      <c r="M7" s="150"/>
      <c r="N7" s="112"/>
      <c r="O7" s="23"/>
      <c r="P7" s="150"/>
      <c r="Q7" s="112"/>
      <c r="R7" s="112"/>
      <c r="S7" s="150"/>
      <c r="T7" s="112"/>
      <c r="U7" s="112"/>
      <c r="V7" s="156"/>
      <c r="W7" s="112"/>
      <c r="X7" s="112"/>
      <c r="Y7" s="150"/>
      <c r="AA7" s="23">
        <v>3480</v>
      </c>
      <c r="AB7" s="23">
        <v>3568</v>
      </c>
      <c r="AC7" s="310" t="s">
        <v>89</v>
      </c>
    </row>
    <row r="8" spans="1:29" s="275" customFormat="1" ht="35.25" customHeight="1">
      <c r="A8" s="14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44" t="s">
        <v>21</v>
      </c>
      <c r="H8" s="82">
        <f>H9*0.03+H10*0.38+H11*0.27+H12*0.32</f>
        <v>2111.4</v>
      </c>
      <c r="I8" s="82">
        <f>I9*0.03+I10*0.38+I11*0.27+I12*0.32</f>
        <v>2173.5209999999997</v>
      </c>
      <c r="J8" s="36"/>
      <c r="K8" s="170"/>
      <c r="L8" s="170"/>
      <c r="M8" s="149"/>
      <c r="N8" s="170"/>
      <c r="O8" s="170"/>
      <c r="P8" s="149"/>
      <c r="Q8" s="170"/>
      <c r="R8" s="170"/>
      <c r="S8" s="149"/>
      <c r="T8" s="170"/>
      <c r="U8" s="170"/>
      <c r="V8" s="155"/>
      <c r="W8" s="170"/>
      <c r="X8" s="170"/>
      <c r="Y8" s="149"/>
      <c r="AA8" s="22">
        <f>(AA9*0.03+AA10*0.38+AA11*0.27+AA12*0.32)</f>
        <v>3531.8</v>
      </c>
      <c r="AB8" s="22">
        <f>(AB9*0.03+AB10*0.38+AB11*0.27+AB12*0.32)</f>
        <v>3620.88</v>
      </c>
      <c r="AC8" s="29"/>
    </row>
    <row r="9" spans="1:29" s="273" customFormat="1" ht="16.5" customHeight="1">
      <c r="A9" s="139">
        <v>5</v>
      </c>
      <c r="B9" s="9"/>
      <c r="C9" s="9"/>
      <c r="D9" s="10" t="s">
        <v>29</v>
      </c>
      <c r="E9" s="9"/>
      <c r="F9" s="10" t="s">
        <v>30</v>
      </c>
      <c r="G9" s="45" t="s">
        <v>21</v>
      </c>
      <c r="H9" s="112">
        <f>(2180+2220+2280+2230+2280)/5</f>
        <v>2238</v>
      </c>
      <c r="I9" s="23">
        <f t="shared" si="0"/>
        <v>2302.02</v>
      </c>
      <c r="J9" s="260" t="s">
        <v>90</v>
      </c>
      <c r="K9" s="112"/>
      <c r="L9" s="23"/>
      <c r="M9" s="150"/>
      <c r="N9" s="112"/>
      <c r="O9" s="23"/>
      <c r="P9" s="150"/>
      <c r="Q9" s="112"/>
      <c r="R9" s="112"/>
      <c r="S9" s="150"/>
      <c r="T9" s="112"/>
      <c r="U9" s="112"/>
      <c r="V9" s="156"/>
      <c r="W9" s="112"/>
      <c r="X9" s="112"/>
      <c r="Y9" s="150"/>
      <c r="AA9" s="23">
        <v>3580</v>
      </c>
      <c r="AB9" s="23">
        <v>3670</v>
      </c>
      <c r="AC9" s="310" t="s">
        <v>90</v>
      </c>
    </row>
    <row r="10" spans="1:29" s="273" customFormat="1" ht="16.5" customHeight="1">
      <c r="A10" s="139">
        <v>6</v>
      </c>
      <c r="B10" s="9"/>
      <c r="C10" s="9"/>
      <c r="D10" s="10" t="s">
        <v>29</v>
      </c>
      <c r="E10" s="9"/>
      <c r="F10" s="10" t="s">
        <v>31</v>
      </c>
      <c r="G10" s="45" t="s">
        <v>21</v>
      </c>
      <c r="H10" s="112">
        <f>(2110+2150+2210+2160+2210)/5</f>
        <v>2168</v>
      </c>
      <c r="I10" s="23">
        <f t="shared" si="0"/>
        <v>2230.97</v>
      </c>
      <c r="J10" s="260" t="s">
        <v>90</v>
      </c>
      <c r="K10" s="112"/>
      <c r="L10" s="23"/>
      <c r="M10" s="150"/>
      <c r="N10" s="112"/>
      <c r="O10" s="23"/>
      <c r="P10" s="150"/>
      <c r="Q10" s="112"/>
      <c r="R10" s="112"/>
      <c r="S10" s="150"/>
      <c r="T10" s="112"/>
      <c r="U10" s="112"/>
      <c r="V10" s="156"/>
      <c r="W10" s="112"/>
      <c r="X10" s="112"/>
      <c r="Y10" s="150"/>
      <c r="AA10" s="23">
        <v>3510</v>
      </c>
      <c r="AB10" s="23">
        <v>3599</v>
      </c>
      <c r="AC10" s="310" t="s">
        <v>90</v>
      </c>
    </row>
    <row r="11" spans="1:29" s="273" customFormat="1" ht="16.5" customHeight="1">
      <c r="A11" s="139">
        <v>7</v>
      </c>
      <c r="B11" s="9"/>
      <c r="C11" s="9"/>
      <c r="D11" s="10" t="s">
        <v>29</v>
      </c>
      <c r="E11" s="9"/>
      <c r="F11" s="10" t="s">
        <v>32</v>
      </c>
      <c r="G11" s="45" t="s">
        <v>21</v>
      </c>
      <c r="H11" s="112">
        <f>(1940+1980+2040+1990+2040)/5</f>
        <v>1998</v>
      </c>
      <c r="I11" s="23">
        <f t="shared" si="0"/>
        <v>2058.4199999999996</v>
      </c>
      <c r="J11" s="260" t="s">
        <v>90</v>
      </c>
      <c r="K11" s="112"/>
      <c r="L11" s="23"/>
      <c r="M11" s="150"/>
      <c r="N11" s="112"/>
      <c r="O11" s="23"/>
      <c r="P11" s="150"/>
      <c r="Q11" s="112"/>
      <c r="R11" s="112"/>
      <c r="S11" s="150"/>
      <c r="T11" s="112"/>
      <c r="U11" s="112"/>
      <c r="V11" s="156"/>
      <c r="W11" s="112"/>
      <c r="X11" s="112"/>
      <c r="Y11" s="150"/>
      <c r="AA11" s="23">
        <v>3500</v>
      </c>
      <c r="AB11" s="23">
        <v>3588</v>
      </c>
      <c r="AC11" s="310" t="s">
        <v>90</v>
      </c>
    </row>
    <row r="12" spans="1:29" s="273" customFormat="1" ht="16.5" customHeight="1">
      <c r="A12" s="139">
        <v>8</v>
      </c>
      <c r="B12" s="9"/>
      <c r="C12" s="9"/>
      <c r="D12" s="10" t="s">
        <v>29</v>
      </c>
      <c r="E12" s="9"/>
      <c r="F12" s="10" t="s">
        <v>33</v>
      </c>
      <c r="G12" s="45" t="s">
        <v>21</v>
      </c>
      <c r="H12" s="112">
        <f>(2070+2110+2170+2120+2170)/5</f>
        <v>2128</v>
      </c>
      <c r="I12" s="23">
        <f t="shared" si="0"/>
        <v>2190.37</v>
      </c>
      <c r="J12" s="260" t="s">
        <v>90</v>
      </c>
      <c r="K12" s="112"/>
      <c r="L12" s="23"/>
      <c r="M12" s="150"/>
      <c r="N12" s="112"/>
      <c r="O12" s="23"/>
      <c r="P12" s="150"/>
      <c r="Q12" s="112"/>
      <c r="R12" s="112"/>
      <c r="S12" s="150"/>
      <c r="T12" s="112"/>
      <c r="U12" s="112"/>
      <c r="V12" s="156"/>
      <c r="W12" s="112"/>
      <c r="X12" s="112"/>
      <c r="Y12" s="150"/>
      <c r="AA12" s="23">
        <v>3580</v>
      </c>
      <c r="AB12" s="23">
        <v>3670</v>
      </c>
      <c r="AC12" s="310" t="s">
        <v>90</v>
      </c>
    </row>
    <row r="13" spans="1:29" s="275" customFormat="1" ht="24.75" customHeight="1">
      <c r="A13" s="14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44" t="s">
        <v>21</v>
      </c>
      <c r="H13" s="83">
        <f>H14*0.27+H15*0.67+H16*0.06</f>
        <v>2296.3</v>
      </c>
      <c r="I13" s="83">
        <f>I14*0.27+I15*0.67+I16*0.06</f>
        <v>2361.1944999999996</v>
      </c>
      <c r="J13" s="196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24">
        <f>(AA14*0.27+AA15*0.67+AA16*0.06)</f>
        <v>3453.5</v>
      </c>
      <c r="AB13" s="24">
        <f>(AB14*0.27+AB15*0.67+AB16*0.06)</f>
        <v>3532.2599999999998</v>
      </c>
      <c r="AC13" s="23"/>
    </row>
    <row r="14" spans="1:30" s="273" customFormat="1" ht="12.75" customHeight="1">
      <c r="A14" s="139">
        <v>10</v>
      </c>
      <c r="B14" s="9"/>
      <c r="C14" s="9"/>
      <c r="D14" s="10" t="s">
        <v>37</v>
      </c>
      <c r="E14" s="9"/>
      <c r="F14" s="13" t="s">
        <v>38</v>
      </c>
      <c r="G14" s="45" t="s">
        <v>21</v>
      </c>
      <c r="H14" s="112">
        <f>(2200+2200+2200+2200+2200)/5+50</f>
        <v>2250</v>
      </c>
      <c r="I14" s="23">
        <f t="shared" si="0"/>
        <v>2314.2</v>
      </c>
      <c r="J14" s="260" t="s">
        <v>91</v>
      </c>
      <c r="K14" s="112"/>
      <c r="L14" s="23"/>
      <c r="M14" s="150"/>
      <c r="N14" s="112"/>
      <c r="O14" s="23"/>
      <c r="P14" s="150"/>
      <c r="Q14" s="112"/>
      <c r="R14" s="112"/>
      <c r="S14" s="150"/>
      <c r="T14" s="112"/>
      <c r="U14" s="112"/>
      <c r="V14" s="156"/>
      <c r="W14" s="112"/>
      <c r="X14" s="112"/>
      <c r="Y14" s="150"/>
      <c r="AA14" s="23">
        <v>3350</v>
      </c>
      <c r="AB14" s="23">
        <v>3410</v>
      </c>
      <c r="AC14" s="310" t="s">
        <v>91</v>
      </c>
      <c r="AD14" s="311" t="s">
        <v>157</v>
      </c>
    </row>
    <row r="15" spans="1:30" s="273" customFormat="1" ht="12.75" customHeight="1">
      <c r="A15" s="139">
        <v>11</v>
      </c>
      <c r="B15" s="9"/>
      <c r="C15" s="9"/>
      <c r="D15" s="10" t="s">
        <v>39</v>
      </c>
      <c r="E15" s="9"/>
      <c r="F15" s="13" t="s">
        <v>40</v>
      </c>
      <c r="G15" s="45" t="s">
        <v>21</v>
      </c>
      <c r="H15" s="112">
        <f>(2270+2270+2270+2270+2270)/5+50</f>
        <v>2320</v>
      </c>
      <c r="I15" s="23">
        <f t="shared" si="0"/>
        <v>2385.2499999999995</v>
      </c>
      <c r="J15" s="260" t="s">
        <v>92</v>
      </c>
      <c r="K15" s="112"/>
      <c r="L15" s="23"/>
      <c r="M15" s="150"/>
      <c r="N15" s="112"/>
      <c r="O15" s="23"/>
      <c r="P15" s="150"/>
      <c r="Q15" s="112"/>
      <c r="R15" s="112"/>
      <c r="S15" s="150"/>
      <c r="T15" s="112"/>
      <c r="U15" s="112"/>
      <c r="V15" s="156"/>
      <c r="W15" s="112"/>
      <c r="X15" s="112"/>
      <c r="Y15" s="150"/>
      <c r="AA15" s="23">
        <v>3500</v>
      </c>
      <c r="AB15" s="23">
        <v>3588</v>
      </c>
      <c r="AC15" s="310" t="s">
        <v>91</v>
      </c>
      <c r="AD15" s="312"/>
    </row>
    <row r="16" spans="1:30" s="273" customFormat="1" ht="12.75" customHeight="1">
      <c r="A16" s="139">
        <v>12</v>
      </c>
      <c r="B16" s="9"/>
      <c r="C16" s="9"/>
      <c r="D16" s="10" t="s">
        <v>41</v>
      </c>
      <c r="E16" s="9"/>
      <c r="F16" s="13" t="s">
        <v>42</v>
      </c>
      <c r="G16" s="45" t="s">
        <v>21</v>
      </c>
      <c r="H16" s="112">
        <f>(2190+2190+2190+2190+2190)/5+50</f>
        <v>2240</v>
      </c>
      <c r="I16" s="23">
        <f t="shared" si="0"/>
        <v>2304.0499999999997</v>
      </c>
      <c r="J16" s="260" t="s">
        <v>158</v>
      </c>
      <c r="K16" s="112"/>
      <c r="L16" s="23"/>
      <c r="M16" s="150"/>
      <c r="N16" s="112"/>
      <c r="O16" s="23"/>
      <c r="P16" s="150"/>
      <c r="Q16" s="112"/>
      <c r="R16" s="112"/>
      <c r="S16" s="150"/>
      <c r="T16" s="112"/>
      <c r="U16" s="112"/>
      <c r="V16" s="156"/>
      <c r="W16" s="112"/>
      <c r="X16" s="112"/>
      <c r="Y16" s="150"/>
      <c r="AA16" s="23">
        <v>3400</v>
      </c>
      <c r="AB16" s="23">
        <v>3460</v>
      </c>
      <c r="AC16" s="310" t="s">
        <v>91</v>
      </c>
      <c r="AD16" s="312"/>
    </row>
    <row r="17" spans="1:30" s="273" customFormat="1" ht="12.75" customHeight="1">
      <c r="A17" s="139">
        <v>13</v>
      </c>
      <c r="B17" s="9"/>
      <c r="C17" s="6" t="s">
        <v>43</v>
      </c>
      <c r="D17" s="9"/>
      <c r="E17" s="9">
        <v>183</v>
      </c>
      <c r="F17" s="13" t="s">
        <v>44</v>
      </c>
      <c r="G17" s="45" t="s">
        <v>21</v>
      </c>
      <c r="H17" s="83">
        <f>(2160+2200+2220+2220+2220)/5</f>
        <v>2204</v>
      </c>
      <c r="I17" s="23">
        <f t="shared" si="0"/>
        <v>2267.5099999999998</v>
      </c>
      <c r="J17" s="260"/>
      <c r="K17" s="112"/>
      <c r="L17" s="23"/>
      <c r="M17" s="150"/>
      <c r="N17" s="112"/>
      <c r="O17" s="23"/>
      <c r="P17" s="150"/>
      <c r="Q17" s="112"/>
      <c r="R17" s="112"/>
      <c r="S17" s="150"/>
      <c r="T17" s="112"/>
      <c r="U17" s="112"/>
      <c r="V17" s="156"/>
      <c r="W17" s="112"/>
      <c r="X17" s="112"/>
      <c r="Y17" s="150"/>
      <c r="AA17" s="24">
        <v>4400</v>
      </c>
      <c r="AB17" s="24">
        <v>4505</v>
      </c>
      <c r="AC17" s="310" t="s">
        <v>159</v>
      </c>
      <c r="AD17" s="312"/>
    </row>
    <row r="18" spans="1:29" s="275" customFormat="1" ht="39" customHeight="1">
      <c r="A18" s="14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44" t="s">
        <v>21</v>
      </c>
      <c r="H18" s="83">
        <f>H19*0.6+H20*0.2+H21*0.2</f>
        <v>2584</v>
      </c>
      <c r="I18" s="83">
        <f>I19*0.6+I20*0.2+I21*0.2</f>
        <v>2653.2099999999996</v>
      </c>
      <c r="J18" s="195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AA18" s="24">
        <f>(AA19*0.6+AA20*0.2+AA21*0.2)</f>
        <v>4680</v>
      </c>
      <c r="AB18" s="24">
        <f>(AB19*0.6+AB20*0.2+AB21*0.2)</f>
        <v>4789.8</v>
      </c>
      <c r="AC18" s="24"/>
    </row>
    <row r="19" spans="1:29" s="273" customFormat="1" ht="16.5" customHeight="1">
      <c r="A19" s="139">
        <v>15</v>
      </c>
      <c r="B19" s="9"/>
      <c r="C19" s="9"/>
      <c r="D19" s="10" t="s">
        <v>48</v>
      </c>
      <c r="E19" s="25"/>
      <c r="F19" s="10" t="s">
        <v>49</v>
      </c>
      <c r="G19" s="45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6"/>
      <c r="W19" s="112"/>
      <c r="X19" s="112"/>
      <c r="Y19" s="150"/>
      <c r="AA19" s="23">
        <v>3900</v>
      </c>
      <c r="AB19" s="23">
        <v>3996</v>
      </c>
      <c r="AC19" s="310" t="s">
        <v>161</v>
      </c>
    </row>
    <row r="20" spans="1:29" s="273" customFormat="1" ht="16.5" customHeight="1">
      <c r="A20" s="139">
        <v>16</v>
      </c>
      <c r="B20" s="9"/>
      <c r="C20" s="9"/>
      <c r="D20" s="10" t="s">
        <v>50</v>
      </c>
      <c r="E20" s="25">
        <v>192</v>
      </c>
      <c r="F20" s="10" t="s">
        <v>51</v>
      </c>
      <c r="G20" s="45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6"/>
      <c r="W20" s="150"/>
      <c r="X20" s="150"/>
      <c r="Y20" s="150"/>
      <c r="AA20" s="34">
        <v>6000</v>
      </c>
      <c r="AB20" s="34">
        <v>6133</v>
      </c>
      <c r="AC20" s="310" t="s">
        <v>161</v>
      </c>
    </row>
    <row r="21" spans="1:29" s="273" customFormat="1" ht="16.5" customHeight="1">
      <c r="A21" s="139">
        <v>17</v>
      </c>
      <c r="B21" s="9"/>
      <c r="C21" s="9"/>
      <c r="D21" s="10" t="s">
        <v>52</v>
      </c>
      <c r="E21" s="25">
        <v>191</v>
      </c>
      <c r="F21" s="10" t="s">
        <v>53</v>
      </c>
      <c r="G21" s="45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6"/>
      <c r="W21" s="112"/>
      <c r="X21" s="112"/>
      <c r="Y21" s="150"/>
      <c r="AA21" s="23">
        <v>5700</v>
      </c>
      <c r="AB21" s="23">
        <v>5828</v>
      </c>
      <c r="AC21" s="310" t="s">
        <v>161</v>
      </c>
    </row>
    <row r="22" spans="1:29" s="273" customFormat="1" ht="16.5" customHeight="1">
      <c r="A22" s="139">
        <v>18</v>
      </c>
      <c r="B22" s="9"/>
      <c r="C22" s="10" t="s">
        <v>54</v>
      </c>
      <c r="D22" s="13"/>
      <c r="E22" s="9">
        <v>121</v>
      </c>
      <c r="F22" s="13"/>
      <c r="G22" s="45" t="s">
        <v>21</v>
      </c>
      <c r="H22" s="83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6"/>
      <c r="W22" s="112"/>
      <c r="X22" s="112"/>
      <c r="Y22" s="150"/>
      <c r="AA22" s="24">
        <v>5150</v>
      </c>
      <c r="AB22" s="24">
        <v>5210</v>
      </c>
      <c r="AC22" s="34"/>
    </row>
    <row r="23" spans="1:29" s="273" customFormat="1" ht="16.5" customHeight="1">
      <c r="A23" s="139">
        <v>19</v>
      </c>
      <c r="B23" s="9"/>
      <c r="C23" s="10" t="s">
        <v>55</v>
      </c>
      <c r="D23" s="13"/>
      <c r="E23" s="9">
        <v>125</v>
      </c>
      <c r="F23" s="10" t="s">
        <v>56</v>
      </c>
      <c r="G23" s="45" t="s">
        <v>21</v>
      </c>
      <c r="H23" s="83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6"/>
      <c r="W23" s="112"/>
      <c r="X23" s="112"/>
      <c r="Y23" s="150"/>
      <c r="AA23" s="24">
        <v>5680</v>
      </c>
      <c r="AB23" s="24">
        <v>5780</v>
      </c>
      <c r="AC23" s="34"/>
    </row>
    <row r="24" spans="1:25" s="275" customFormat="1" ht="30.75" customHeight="1">
      <c r="A24" s="142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44" t="s">
        <v>21</v>
      </c>
      <c r="H24" s="83">
        <f>H26*0.75+H28*0.25</f>
        <v>312.5</v>
      </c>
      <c r="I24" s="83">
        <f>I26*0.75+I28*0.25</f>
        <v>330.61087499999996</v>
      </c>
      <c r="J24" s="149"/>
      <c r="K24" s="83">
        <f>K26*0.75+K28*0.25</f>
        <v>312.5</v>
      </c>
      <c r="L24" s="83">
        <f>L26*0.75+L28*0.25</f>
        <v>330.61087499999996</v>
      </c>
      <c r="M24" s="149"/>
      <c r="N24" s="83">
        <f>N26*0.75+N28*0.25</f>
        <v>312.5</v>
      </c>
      <c r="O24" s="83">
        <f>O26*0.75+O28*0.25</f>
        <v>330.61087499999996</v>
      </c>
      <c r="P24" s="149"/>
      <c r="Q24" s="83">
        <f>Q26*0.75+Q28*0.25</f>
        <v>327.5</v>
      </c>
      <c r="R24" s="83">
        <f>R26*0.75+R28*0.25</f>
        <v>345.61087499999996</v>
      </c>
      <c r="S24" s="149"/>
      <c r="T24" s="83">
        <f>T26*0.75+T28*0.25</f>
        <v>312.5</v>
      </c>
      <c r="U24" s="83">
        <f>U26*0.75+U28*0.25</f>
        <v>330.61087499999996</v>
      </c>
      <c r="V24" s="149"/>
      <c r="W24" s="83">
        <f>W26*0.75+W28*0.25</f>
        <v>312.5</v>
      </c>
      <c r="X24" s="83">
        <f>X26*0.75+X28*0.25</f>
        <v>330.61087499999996</v>
      </c>
      <c r="Y24" s="149"/>
    </row>
    <row r="25" spans="1:25" s="273" customFormat="1" ht="16.5" customHeight="1">
      <c r="A25" s="139">
        <v>21</v>
      </c>
      <c r="B25" s="9"/>
      <c r="C25" s="13" t="s">
        <v>60</v>
      </c>
      <c r="D25" s="13"/>
      <c r="E25" s="9">
        <v>832</v>
      </c>
      <c r="F25" s="10" t="s">
        <v>61</v>
      </c>
      <c r="G25" s="45" t="s">
        <v>21</v>
      </c>
      <c r="H25" s="126">
        <v>325</v>
      </c>
      <c r="I25" s="23">
        <f>(H25+10)*(1+0.015)*(1+0.01)</f>
        <v>343.42525</v>
      </c>
      <c r="J25" s="102" t="s">
        <v>164</v>
      </c>
      <c r="K25" s="126">
        <f aca="true" t="shared" si="1" ref="K25:L28">H25</f>
        <v>325</v>
      </c>
      <c r="L25" s="23">
        <f t="shared" si="1"/>
        <v>343.42525</v>
      </c>
      <c r="M25" s="290"/>
      <c r="N25" s="34">
        <f aca="true" t="shared" si="2" ref="N25:O28">H25</f>
        <v>325</v>
      </c>
      <c r="O25" s="128">
        <f t="shared" si="2"/>
        <v>343.42525</v>
      </c>
      <c r="P25" s="159"/>
      <c r="Q25" s="23">
        <f aca="true" t="shared" si="3" ref="Q25:R28">H25+15</f>
        <v>340</v>
      </c>
      <c r="R25" s="112">
        <f t="shared" si="3"/>
        <v>358.42525</v>
      </c>
      <c r="S25" s="159"/>
      <c r="T25" s="288">
        <f aca="true" t="shared" si="4" ref="T25:U28">H25</f>
        <v>325</v>
      </c>
      <c r="U25" s="23">
        <f t="shared" si="4"/>
        <v>343.42525</v>
      </c>
      <c r="V25" s="296"/>
      <c r="W25" s="112">
        <f aca="true" t="shared" si="5" ref="W25:X28">H25</f>
        <v>325</v>
      </c>
      <c r="X25" s="112">
        <f t="shared" si="5"/>
        <v>343.42525</v>
      </c>
      <c r="Y25" s="302"/>
    </row>
    <row r="26" spans="1:25" s="273" customFormat="1" ht="16.5" customHeight="1">
      <c r="A26" s="139">
        <v>22</v>
      </c>
      <c r="B26" s="9"/>
      <c r="C26" s="13" t="s">
        <v>60</v>
      </c>
      <c r="D26" s="13"/>
      <c r="E26" s="9"/>
      <c r="F26" s="10" t="s">
        <v>62</v>
      </c>
      <c r="G26" s="45" t="s">
        <v>21</v>
      </c>
      <c r="H26" s="126">
        <v>305</v>
      </c>
      <c r="I26" s="23">
        <f>(H26+10)*(1+0.015)*(1+0.01)</f>
        <v>322.92224999999996</v>
      </c>
      <c r="J26" s="102" t="s">
        <v>164</v>
      </c>
      <c r="K26" s="126">
        <f t="shared" si="1"/>
        <v>305</v>
      </c>
      <c r="L26" s="23">
        <f t="shared" si="1"/>
        <v>322.92224999999996</v>
      </c>
      <c r="M26" s="290"/>
      <c r="N26" s="34">
        <f t="shared" si="2"/>
        <v>305</v>
      </c>
      <c r="O26" s="128">
        <f t="shared" si="2"/>
        <v>322.92224999999996</v>
      </c>
      <c r="P26" s="159"/>
      <c r="Q26" s="23">
        <f t="shared" si="3"/>
        <v>320</v>
      </c>
      <c r="R26" s="112">
        <f t="shared" si="3"/>
        <v>337.92224999999996</v>
      </c>
      <c r="S26" s="159"/>
      <c r="T26" s="288">
        <f t="shared" si="4"/>
        <v>305</v>
      </c>
      <c r="U26" s="23">
        <f t="shared" si="4"/>
        <v>322.92224999999996</v>
      </c>
      <c r="V26" s="296"/>
      <c r="W26" s="112">
        <f t="shared" si="5"/>
        <v>305</v>
      </c>
      <c r="X26" s="112">
        <f t="shared" si="5"/>
        <v>322.92224999999996</v>
      </c>
      <c r="Y26" s="302"/>
    </row>
    <row r="27" spans="1:25" s="273" customFormat="1" ht="16.5" customHeight="1">
      <c r="A27" s="139">
        <v>23</v>
      </c>
      <c r="B27" s="9"/>
      <c r="C27" s="13" t="s">
        <v>63</v>
      </c>
      <c r="D27" s="13"/>
      <c r="E27" s="9">
        <v>833</v>
      </c>
      <c r="F27" s="10" t="s">
        <v>61</v>
      </c>
      <c r="G27" s="45" t="s">
        <v>21</v>
      </c>
      <c r="H27" s="126">
        <v>355</v>
      </c>
      <c r="I27" s="23">
        <f>(H27+10)*(1+0.015)*(1+0.01)</f>
        <v>374.17974999999996</v>
      </c>
      <c r="J27" s="102" t="s">
        <v>164</v>
      </c>
      <c r="K27" s="126">
        <f t="shared" si="1"/>
        <v>355</v>
      </c>
      <c r="L27" s="23">
        <f t="shared" si="1"/>
        <v>374.17974999999996</v>
      </c>
      <c r="M27" s="290"/>
      <c r="N27" s="34">
        <f t="shared" si="2"/>
        <v>355</v>
      </c>
      <c r="O27" s="128">
        <f t="shared" si="2"/>
        <v>374.17974999999996</v>
      </c>
      <c r="P27" s="159"/>
      <c r="Q27" s="23">
        <f t="shared" si="3"/>
        <v>370</v>
      </c>
      <c r="R27" s="112">
        <f t="shared" si="3"/>
        <v>389.17974999999996</v>
      </c>
      <c r="S27" s="159"/>
      <c r="T27" s="288">
        <f t="shared" si="4"/>
        <v>355</v>
      </c>
      <c r="U27" s="23">
        <f t="shared" si="4"/>
        <v>374.17974999999996</v>
      </c>
      <c r="V27" s="296"/>
      <c r="W27" s="112">
        <f t="shared" si="5"/>
        <v>355</v>
      </c>
      <c r="X27" s="112">
        <f t="shared" si="5"/>
        <v>374.17974999999996</v>
      </c>
      <c r="Y27" s="302"/>
    </row>
    <row r="28" spans="1:25" s="273" customFormat="1" ht="16.5" customHeight="1">
      <c r="A28" s="139">
        <v>24</v>
      </c>
      <c r="B28" s="9"/>
      <c r="C28" s="13" t="s">
        <v>63</v>
      </c>
      <c r="D28" s="13"/>
      <c r="E28" s="9"/>
      <c r="F28" s="10" t="s">
        <v>62</v>
      </c>
      <c r="G28" s="45" t="s">
        <v>21</v>
      </c>
      <c r="H28" s="126">
        <v>335</v>
      </c>
      <c r="I28" s="23">
        <f>(H28+10)*(1+0.015)*(1+0.01)</f>
        <v>353.67674999999997</v>
      </c>
      <c r="J28" s="102" t="s">
        <v>164</v>
      </c>
      <c r="K28" s="126">
        <f t="shared" si="1"/>
        <v>335</v>
      </c>
      <c r="L28" s="23">
        <f t="shared" si="1"/>
        <v>353.67674999999997</v>
      </c>
      <c r="M28" s="290"/>
      <c r="N28" s="34">
        <f t="shared" si="2"/>
        <v>335</v>
      </c>
      <c r="O28" s="128">
        <f t="shared" si="2"/>
        <v>353.67674999999997</v>
      </c>
      <c r="P28" s="159"/>
      <c r="Q28" s="23">
        <f t="shared" si="3"/>
        <v>350</v>
      </c>
      <c r="R28" s="112">
        <f t="shared" si="3"/>
        <v>368.67674999999997</v>
      </c>
      <c r="S28" s="159"/>
      <c r="T28" s="288">
        <f t="shared" si="4"/>
        <v>335</v>
      </c>
      <c r="U28" s="23">
        <f t="shared" si="4"/>
        <v>353.67674999999997</v>
      </c>
      <c r="V28" s="296"/>
      <c r="W28" s="112">
        <f t="shared" si="5"/>
        <v>335</v>
      </c>
      <c r="X28" s="112">
        <f t="shared" si="5"/>
        <v>353.67674999999997</v>
      </c>
      <c r="Y28" s="302"/>
    </row>
    <row r="29" spans="1:25" s="273" customFormat="1" ht="16.5" customHeight="1" hidden="1">
      <c r="A29" s="45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28"/>
      <c r="I29" s="38">
        <v>6.37</v>
      </c>
      <c r="J29" s="286" t="s">
        <v>165</v>
      </c>
      <c r="K29" s="28"/>
      <c r="L29" s="38">
        <v>6.37</v>
      </c>
      <c r="M29" s="286" t="s">
        <v>165</v>
      </c>
      <c r="N29" s="28"/>
      <c r="O29" s="38">
        <v>6.37</v>
      </c>
      <c r="P29" s="159"/>
      <c r="Q29" s="28"/>
      <c r="R29" s="38">
        <v>6.37</v>
      </c>
      <c r="S29" s="293" t="s">
        <v>165</v>
      </c>
      <c r="T29" s="28"/>
      <c r="U29" s="38">
        <v>6.37</v>
      </c>
      <c r="V29" s="293" t="s">
        <v>165</v>
      </c>
      <c r="W29" s="28"/>
      <c r="X29" s="38">
        <v>6.37</v>
      </c>
      <c r="Y29" s="293" t="s">
        <v>165</v>
      </c>
    </row>
    <row r="30" spans="1:25" s="273" customFormat="1" ht="16.5" customHeight="1" hidden="1">
      <c r="A30" s="139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28"/>
      <c r="I30" s="38">
        <v>6.75</v>
      </c>
      <c r="J30" s="286"/>
      <c r="K30" s="28"/>
      <c r="L30" s="38">
        <v>6.75</v>
      </c>
      <c r="M30" s="286"/>
      <c r="N30" s="28"/>
      <c r="O30" s="38">
        <v>6.75</v>
      </c>
      <c r="P30" s="159"/>
      <c r="Q30" s="28"/>
      <c r="R30" s="38">
        <v>6.75</v>
      </c>
      <c r="S30" s="293"/>
      <c r="T30" s="28"/>
      <c r="U30" s="38">
        <v>6.75</v>
      </c>
      <c r="V30" s="293"/>
      <c r="W30" s="28"/>
      <c r="X30" s="38">
        <v>6.75</v>
      </c>
      <c r="Y30" s="293"/>
    </row>
    <row r="31" spans="1:25" s="273" customFormat="1" ht="16.5" customHeight="1" hidden="1">
      <c r="A31" s="45">
        <v>27</v>
      </c>
      <c r="B31" s="17"/>
      <c r="C31" s="10" t="s">
        <v>69</v>
      </c>
      <c r="D31" s="18"/>
      <c r="E31" s="26">
        <v>863</v>
      </c>
      <c r="F31" s="27" t="s">
        <v>70</v>
      </c>
      <c r="G31" s="148" t="s">
        <v>67</v>
      </c>
      <c r="H31" s="28"/>
      <c r="I31" s="38">
        <v>5.75</v>
      </c>
      <c r="J31" s="286" t="s">
        <v>165</v>
      </c>
      <c r="K31" s="28"/>
      <c r="L31" s="38">
        <v>5.75</v>
      </c>
      <c r="M31" s="286" t="s">
        <v>165</v>
      </c>
      <c r="N31" s="28"/>
      <c r="O31" s="38">
        <v>5.75</v>
      </c>
      <c r="P31" s="159"/>
      <c r="Q31" s="28"/>
      <c r="R31" s="38">
        <v>5.75</v>
      </c>
      <c r="S31" s="293" t="s">
        <v>165</v>
      </c>
      <c r="T31" s="28"/>
      <c r="U31" s="38">
        <v>5.75</v>
      </c>
      <c r="V31" s="293" t="s">
        <v>165</v>
      </c>
      <c r="W31" s="28"/>
      <c r="X31" s="38">
        <v>5.75</v>
      </c>
      <c r="Y31" s="293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9"/>
      <c r="N33" s="284"/>
      <c r="O33" s="284"/>
      <c r="P33" s="289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29" t="s">
        <v>172</v>
      </c>
      <c r="X34" s="129" t="s">
        <v>173</v>
      </c>
    </row>
    <row r="35" spans="1:24" ht="14.25">
      <c r="A35" s="139"/>
      <c r="B35" s="139"/>
      <c r="C35" s="140"/>
      <c r="D35" s="141"/>
      <c r="E35" s="139"/>
      <c r="F35" s="139"/>
      <c r="G35" s="139"/>
      <c r="H35" s="221" t="s">
        <v>14</v>
      </c>
      <c r="I35" s="221" t="s">
        <v>15</v>
      </c>
      <c r="J35" s="285" t="s">
        <v>106</v>
      </c>
      <c r="K35" s="221" t="s">
        <v>14</v>
      </c>
      <c r="L35" s="221" t="s">
        <v>15</v>
      </c>
      <c r="M35" s="285" t="s">
        <v>106</v>
      </c>
      <c r="N35" s="221" t="s">
        <v>14</v>
      </c>
      <c r="O35" s="221" t="s">
        <v>15</v>
      </c>
      <c r="P35" s="285" t="s">
        <v>106</v>
      </c>
      <c r="Q35" s="221" t="s">
        <v>14</v>
      </c>
      <c r="R35" s="221" t="s">
        <v>15</v>
      </c>
      <c r="S35" s="285" t="s">
        <v>106</v>
      </c>
      <c r="T35" s="221" t="s">
        <v>14</v>
      </c>
      <c r="U35" s="221" t="s">
        <v>15</v>
      </c>
      <c r="V35" s="285" t="s">
        <v>106</v>
      </c>
      <c r="W35" s="297"/>
      <c r="X35" s="298"/>
    </row>
    <row r="36" spans="1:27" s="276" customFormat="1" ht="24.75" customHeight="1">
      <c r="A36" s="142">
        <v>1</v>
      </c>
      <c r="B36" s="6" t="s">
        <v>16</v>
      </c>
      <c r="C36" s="6" t="s">
        <v>17</v>
      </c>
      <c r="D36" s="8" t="s">
        <v>18</v>
      </c>
      <c r="E36" s="9" t="s">
        <v>19</v>
      </c>
      <c r="F36" s="21" t="s">
        <v>20</v>
      </c>
      <c r="G36" s="44" t="s">
        <v>21</v>
      </c>
      <c r="H36" s="170"/>
      <c r="I36" s="170"/>
      <c r="J36" s="149"/>
      <c r="K36" s="155"/>
      <c r="L36" s="170"/>
      <c r="M36" s="149"/>
      <c r="N36" s="155"/>
      <c r="O36" s="170"/>
      <c r="P36" s="149"/>
      <c r="Q36" s="171"/>
      <c r="R36" s="170"/>
      <c r="S36" s="149"/>
      <c r="T36" s="155"/>
      <c r="U36" s="170"/>
      <c r="V36" s="149"/>
      <c r="W36" s="82">
        <f aca="true" t="shared" si="6" ref="W36:W59">AVERAGE(H5,K5,N5,Q5,T5,W5,H36,K36,N36,Q36,T36)</f>
        <v>2314</v>
      </c>
      <c r="X36" s="82">
        <f aca="true" t="shared" si="7" ref="X36:X62">AVERAGE(I5,L5,O5,R5,U5,X5,I36,L36,O36,R36,U36)</f>
        <v>2379.16</v>
      </c>
      <c r="Y36" s="304"/>
      <c r="Z36" s="305"/>
      <c r="AA36" s="305"/>
    </row>
    <row r="37" spans="1:27" ht="25.5">
      <c r="A37" s="139">
        <v>2</v>
      </c>
      <c r="B37" s="9"/>
      <c r="C37" s="9"/>
      <c r="D37" s="10" t="s">
        <v>22</v>
      </c>
      <c r="E37" s="9"/>
      <c r="F37" s="10" t="s">
        <v>23</v>
      </c>
      <c r="G37" s="45" t="s">
        <v>21</v>
      </c>
      <c r="H37" s="170"/>
      <c r="I37" s="170"/>
      <c r="J37" s="150"/>
      <c r="K37" s="156"/>
      <c r="L37" s="112"/>
      <c r="M37" s="150"/>
      <c r="N37" s="156"/>
      <c r="O37" s="112"/>
      <c r="P37" s="150"/>
      <c r="Q37" s="294"/>
      <c r="R37" s="112"/>
      <c r="S37" s="150"/>
      <c r="T37" s="156"/>
      <c r="U37" s="112"/>
      <c r="V37" s="150"/>
      <c r="W37" s="170">
        <f t="shared" si="6"/>
        <v>2314</v>
      </c>
      <c r="X37" s="170">
        <f t="shared" si="7"/>
        <v>2379.16</v>
      </c>
      <c r="Z37" s="306"/>
      <c r="AA37" s="306"/>
    </row>
    <row r="38" spans="1:27" ht="14.25">
      <c r="A38" s="139">
        <v>3</v>
      </c>
      <c r="B38" s="9"/>
      <c r="C38" s="9"/>
      <c r="D38" s="10" t="s">
        <v>24</v>
      </c>
      <c r="E38" s="9"/>
      <c r="F38" s="10" t="s">
        <v>25</v>
      </c>
      <c r="G38" s="45" t="s">
        <v>21</v>
      </c>
      <c r="H38" s="170"/>
      <c r="I38" s="170"/>
      <c r="J38" s="150"/>
      <c r="K38" s="156"/>
      <c r="L38" s="112"/>
      <c r="M38" s="150"/>
      <c r="N38" s="156"/>
      <c r="O38" s="112"/>
      <c r="P38" s="150"/>
      <c r="Q38" s="294"/>
      <c r="R38" s="112"/>
      <c r="S38" s="150"/>
      <c r="T38" s="156"/>
      <c r="U38" s="112"/>
      <c r="V38" s="150"/>
      <c r="W38" s="170">
        <f t="shared" si="6"/>
        <v>2314</v>
      </c>
      <c r="X38" s="170">
        <f t="shared" si="7"/>
        <v>2379.16</v>
      </c>
      <c r="Z38" s="306"/>
      <c r="AA38" s="306"/>
    </row>
    <row r="39" spans="1:27" s="276" customFormat="1" ht="38.25" customHeight="1">
      <c r="A39" s="142">
        <v>4</v>
      </c>
      <c r="B39" s="9"/>
      <c r="C39" s="6" t="s">
        <v>26</v>
      </c>
      <c r="D39" s="11" t="s">
        <v>27</v>
      </c>
      <c r="E39" s="9">
        <v>112</v>
      </c>
      <c r="F39" s="21" t="s">
        <v>28</v>
      </c>
      <c r="G39" s="44" t="s">
        <v>21</v>
      </c>
      <c r="H39" s="170"/>
      <c r="I39" s="170"/>
      <c r="J39" s="150"/>
      <c r="K39" s="155"/>
      <c r="L39" s="170"/>
      <c r="M39" s="149"/>
      <c r="N39" s="155"/>
      <c r="O39" s="170"/>
      <c r="P39" s="149"/>
      <c r="Q39" s="171"/>
      <c r="R39" s="170"/>
      <c r="S39" s="150"/>
      <c r="T39" s="155"/>
      <c r="U39" s="170"/>
      <c r="V39" s="149"/>
      <c r="W39" s="82">
        <f t="shared" si="6"/>
        <v>2111.4</v>
      </c>
      <c r="X39" s="82">
        <f t="shared" si="7"/>
        <v>2173.5209999999997</v>
      </c>
      <c r="Y39" s="304"/>
      <c r="Z39" s="305"/>
      <c r="AA39" s="305"/>
    </row>
    <row r="40" spans="1:27" ht="16.5" customHeight="1">
      <c r="A40" s="139">
        <v>5</v>
      </c>
      <c r="B40" s="9"/>
      <c r="C40" s="9"/>
      <c r="D40" s="10" t="s">
        <v>29</v>
      </c>
      <c r="E40" s="9"/>
      <c r="F40" s="10" t="s">
        <v>30</v>
      </c>
      <c r="G40" s="45" t="s">
        <v>21</v>
      </c>
      <c r="H40" s="170"/>
      <c r="I40" s="170"/>
      <c r="J40" s="150"/>
      <c r="K40" s="156"/>
      <c r="L40" s="112"/>
      <c r="M40" s="150"/>
      <c r="N40" s="156"/>
      <c r="O40" s="112"/>
      <c r="P40" s="150"/>
      <c r="Q40" s="294"/>
      <c r="R40" s="112"/>
      <c r="S40" s="150"/>
      <c r="T40" s="156"/>
      <c r="U40" s="112"/>
      <c r="V40" s="150"/>
      <c r="W40" s="170">
        <f t="shared" si="6"/>
        <v>2238</v>
      </c>
      <c r="X40" s="170">
        <f t="shared" si="7"/>
        <v>2302.02</v>
      </c>
      <c r="Z40" s="306"/>
      <c r="AA40" s="306"/>
    </row>
    <row r="41" spans="1:27" ht="16.5" customHeight="1">
      <c r="A41" s="139">
        <v>6</v>
      </c>
      <c r="B41" s="9"/>
      <c r="C41" s="9"/>
      <c r="D41" s="10" t="s">
        <v>29</v>
      </c>
      <c r="E41" s="9"/>
      <c r="F41" s="10" t="s">
        <v>31</v>
      </c>
      <c r="G41" s="45" t="s">
        <v>21</v>
      </c>
      <c r="H41" s="170"/>
      <c r="I41" s="170"/>
      <c r="J41" s="150"/>
      <c r="K41" s="156"/>
      <c r="L41" s="112"/>
      <c r="M41" s="150"/>
      <c r="N41" s="156"/>
      <c r="O41" s="112"/>
      <c r="P41" s="150"/>
      <c r="Q41" s="294"/>
      <c r="R41" s="112"/>
      <c r="S41" s="150"/>
      <c r="T41" s="156"/>
      <c r="U41" s="112"/>
      <c r="V41" s="150"/>
      <c r="W41" s="170">
        <f t="shared" si="6"/>
        <v>2168</v>
      </c>
      <c r="X41" s="170">
        <f t="shared" si="7"/>
        <v>2230.97</v>
      </c>
      <c r="Z41" s="306"/>
      <c r="AA41" s="306"/>
    </row>
    <row r="42" spans="1:27" ht="16.5" customHeight="1">
      <c r="A42" s="139">
        <v>7</v>
      </c>
      <c r="B42" s="9"/>
      <c r="C42" s="9"/>
      <c r="D42" s="10" t="s">
        <v>29</v>
      </c>
      <c r="E42" s="9"/>
      <c r="F42" s="10" t="s">
        <v>32</v>
      </c>
      <c r="G42" s="45" t="s">
        <v>21</v>
      </c>
      <c r="H42" s="170"/>
      <c r="I42" s="170"/>
      <c r="J42" s="150"/>
      <c r="K42" s="156"/>
      <c r="L42" s="112"/>
      <c r="M42" s="150"/>
      <c r="N42" s="156"/>
      <c r="O42" s="112"/>
      <c r="P42" s="150"/>
      <c r="Q42" s="294"/>
      <c r="R42" s="112"/>
      <c r="S42" s="150"/>
      <c r="T42" s="156"/>
      <c r="U42" s="112"/>
      <c r="V42" s="150"/>
      <c r="W42" s="170">
        <f t="shared" si="6"/>
        <v>1998</v>
      </c>
      <c r="X42" s="170">
        <f t="shared" si="7"/>
        <v>2058.4199999999996</v>
      </c>
      <c r="Z42" s="306"/>
      <c r="AA42" s="306"/>
    </row>
    <row r="43" spans="1:27" ht="16.5" customHeight="1">
      <c r="A43" s="139">
        <v>8</v>
      </c>
      <c r="B43" s="9"/>
      <c r="C43" s="9"/>
      <c r="D43" s="10" t="s">
        <v>29</v>
      </c>
      <c r="E43" s="9"/>
      <c r="F43" s="10" t="s">
        <v>33</v>
      </c>
      <c r="G43" s="45" t="s">
        <v>21</v>
      </c>
      <c r="H43" s="170"/>
      <c r="I43" s="170"/>
      <c r="J43" s="150"/>
      <c r="K43" s="156"/>
      <c r="L43" s="112"/>
      <c r="M43" s="150"/>
      <c r="N43" s="156"/>
      <c r="O43" s="112"/>
      <c r="P43" s="150"/>
      <c r="Q43" s="294"/>
      <c r="R43" s="112"/>
      <c r="S43" s="150"/>
      <c r="T43" s="156"/>
      <c r="U43" s="112"/>
      <c r="V43" s="150"/>
      <c r="W43" s="170">
        <f t="shared" si="6"/>
        <v>2128</v>
      </c>
      <c r="X43" s="170">
        <f t="shared" si="7"/>
        <v>2190.37</v>
      </c>
      <c r="Z43" s="306"/>
      <c r="AA43" s="306"/>
    </row>
    <row r="44" spans="1:27" s="276" customFormat="1" ht="25.5">
      <c r="A44" s="142">
        <v>9</v>
      </c>
      <c r="B44" s="9"/>
      <c r="C44" s="6" t="s">
        <v>34</v>
      </c>
      <c r="D44" s="11" t="s">
        <v>35</v>
      </c>
      <c r="E44" s="9">
        <v>182</v>
      </c>
      <c r="F44" s="21" t="s">
        <v>36</v>
      </c>
      <c r="G44" s="44" t="s">
        <v>21</v>
      </c>
      <c r="H44" s="170"/>
      <c r="I44" s="170"/>
      <c r="J44" s="150"/>
      <c r="K44" s="112"/>
      <c r="L44" s="112"/>
      <c r="M44" s="112"/>
      <c r="N44" s="112"/>
      <c r="O44" s="112"/>
      <c r="P44" s="112"/>
      <c r="Q44" s="294"/>
      <c r="R44" s="112"/>
      <c r="S44" s="150"/>
      <c r="T44" s="112"/>
      <c r="U44" s="112"/>
      <c r="V44" s="112"/>
      <c r="W44" s="82">
        <f t="shared" si="6"/>
        <v>2296.3</v>
      </c>
      <c r="X44" s="82">
        <f t="shared" si="7"/>
        <v>2361.1944999999996</v>
      </c>
      <c r="Y44" s="304"/>
      <c r="Z44" s="306"/>
      <c r="AA44" s="306"/>
    </row>
    <row r="45" spans="1:27" ht="16.5" customHeight="1">
      <c r="A45" s="139">
        <v>10</v>
      </c>
      <c r="B45" s="9"/>
      <c r="C45" s="9"/>
      <c r="D45" s="10" t="s">
        <v>37</v>
      </c>
      <c r="E45" s="9"/>
      <c r="F45" s="13" t="s">
        <v>38</v>
      </c>
      <c r="G45" s="45" t="s">
        <v>21</v>
      </c>
      <c r="H45" s="170"/>
      <c r="I45" s="170"/>
      <c r="J45" s="150"/>
      <c r="K45" s="156"/>
      <c r="L45" s="112"/>
      <c r="M45" s="150"/>
      <c r="N45" s="156"/>
      <c r="O45" s="112"/>
      <c r="P45" s="150"/>
      <c r="Q45" s="294"/>
      <c r="R45" s="112"/>
      <c r="S45" s="150"/>
      <c r="T45" s="156"/>
      <c r="U45" s="112"/>
      <c r="V45" s="150"/>
      <c r="W45" s="170">
        <f t="shared" si="6"/>
        <v>2250</v>
      </c>
      <c r="X45" s="170">
        <f t="shared" si="7"/>
        <v>2314.2</v>
      </c>
      <c r="Z45" s="306"/>
      <c r="AA45" s="306"/>
    </row>
    <row r="46" spans="1:27" ht="16.5" customHeight="1">
      <c r="A46" s="139">
        <v>11</v>
      </c>
      <c r="B46" s="9"/>
      <c r="C46" s="9"/>
      <c r="D46" s="10" t="s">
        <v>39</v>
      </c>
      <c r="E46" s="9"/>
      <c r="F46" s="13" t="s">
        <v>40</v>
      </c>
      <c r="G46" s="45" t="s">
        <v>21</v>
      </c>
      <c r="H46" s="170"/>
      <c r="I46" s="170"/>
      <c r="J46" s="150"/>
      <c r="K46" s="156"/>
      <c r="L46" s="112"/>
      <c r="M46" s="150"/>
      <c r="N46" s="156"/>
      <c r="O46" s="112"/>
      <c r="P46" s="150"/>
      <c r="Q46" s="294"/>
      <c r="R46" s="112"/>
      <c r="S46" s="150"/>
      <c r="T46" s="156"/>
      <c r="U46" s="112"/>
      <c r="V46" s="150"/>
      <c r="W46" s="170">
        <f t="shared" si="6"/>
        <v>2320</v>
      </c>
      <c r="X46" s="170">
        <f t="shared" si="7"/>
        <v>2385.2499999999995</v>
      </c>
      <c r="Z46" s="306"/>
      <c r="AA46" s="306"/>
    </row>
    <row r="47" spans="1:27" ht="16.5" customHeight="1">
      <c r="A47" s="139">
        <v>12</v>
      </c>
      <c r="B47" s="9"/>
      <c r="C47" s="9"/>
      <c r="D47" s="10" t="s">
        <v>41</v>
      </c>
      <c r="E47" s="9"/>
      <c r="F47" s="13" t="s">
        <v>42</v>
      </c>
      <c r="G47" s="45" t="s">
        <v>21</v>
      </c>
      <c r="H47" s="170"/>
      <c r="I47" s="170"/>
      <c r="J47" s="150"/>
      <c r="K47" s="156"/>
      <c r="L47" s="112"/>
      <c r="M47" s="150"/>
      <c r="N47" s="156"/>
      <c r="O47" s="112"/>
      <c r="P47" s="150"/>
      <c r="Q47" s="294"/>
      <c r="R47" s="112"/>
      <c r="S47" s="150"/>
      <c r="T47" s="156"/>
      <c r="U47" s="112"/>
      <c r="V47" s="150"/>
      <c r="W47" s="170">
        <f t="shared" si="6"/>
        <v>2240</v>
      </c>
      <c r="X47" s="170">
        <f t="shared" si="7"/>
        <v>2304.0499999999997</v>
      </c>
      <c r="Z47" s="306"/>
      <c r="AA47" s="306"/>
    </row>
    <row r="48" spans="1:27" ht="16.5" customHeight="1">
      <c r="A48" s="139">
        <v>13</v>
      </c>
      <c r="B48" s="9"/>
      <c r="C48" s="6" t="s">
        <v>43</v>
      </c>
      <c r="D48" s="9"/>
      <c r="E48" s="9">
        <v>183</v>
      </c>
      <c r="F48" s="13" t="s">
        <v>44</v>
      </c>
      <c r="G48" s="45" t="s">
        <v>21</v>
      </c>
      <c r="H48" s="170"/>
      <c r="I48" s="170"/>
      <c r="J48" s="150"/>
      <c r="K48" s="156"/>
      <c r="L48" s="112"/>
      <c r="M48" s="150"/>
      <c r="N48" s="156"/>
      <c r="O48" s="112"/>
      <c r="P48" s="150"/>
      <c r="Q48" s="294"/>
      <c r="R48" s="112"/>
      <c r="S48" s="150"/>
      <c r="T48" s="156"/>
      <c r="U48" s="112"/>
      <c r="V48" s="150"/>
      <c r="W48" s="170">
        <f t="shared" si="6"/>
        <v>2204</v>
      </c>
      <c r="X48" s="170">
        <f t="shared" si="7"/>
        <v>2267.5099999999998</v>
      </c>
      <c r="Z48" s="306"/>
      <c r="AA48" s="306"/>
    </row>
    <row r="49" spans="1:27" s="276" customFormat="1" ht="36.75">
      <c r="A49" s="142">
        <v>14</v>
      </c>
      <c r="B49" s="9"/>
      <c r="C49" s="6" t="s">
        <v>45</v>
      </c>
      <c r="D49" s="11" t="s">
        <v>46</v>
      </c>
      <c r="E49" s="25"/>
      <c r="F49" s="21" t="s">
        <v>47</v>
      </c>
      <c r="G49" s="44" t="s">
        <v>21</v>
      </c>
      <c r="H49" s="82"/>
      <c r="I49" s="82"/>
      <c r="J49" s="149"/>
      <c r="K49" s="83"/>
      <c r="L49" s="83"/>
      <c r="M49" s="149"/>
      <c r="N49" s="83"/>
      <c r="O49" s="83"/>
      <c r="P49" s="149"/>
      <c r="Q49" s="295"/>
      <c r="R49" s="83"/>
      <c r="S49" s="149"/>
      <c r="T49" s="83"/>
      <c r="U49" s="83"/>
      <c r="V49" s="149"/>
      <c r="W49" s="82">
        <f t="shared" si="6"/>
        <v>2584</v>
      </c>
      <c r="X49" s="82">
        <f t="shared" si="7"/>
        <v>2653.2099999999996</v>
      </c>
      <c r="Y49" s="304"/>
      <c r="Z49" s="307"/>
      <c r="AA49" s="307"/>
    </row>
    <row r="50" spans="1:27" ht="16.5" customHeight="1">
      <c r="A50" s="139">
        <v>15</v>
      </c>
      <c r="B50" s="9"/>
      <c r="C50" s="9"/>
      <c r="D50" s="10" t="s">
        <v>48</v>
      </c>
      <c r="E50" s="25"/>
      <c r="F50" s="10" t="s">
        <v>49</v>
      </c>
      <c r="G50" s="45" t="s">
        <v>21</v>
      </c>
      <c r="H50" s="170"/>
      <c r="I50" s="170"/>
      <c r="J50" s="150"/>
      <c r="K50" s="156"/>
      <c r="L50" s="112"/>
      <c r="M50" s="150"/>
      <c r="N50" s="156"/>
      <c r="O50" s="112"/>
      <c r="P50" s="150"/>
      <c r="Q50" s="294"/>
      <c r="R50" s="112"/>
      <c r="S50" s="150"/>
      <c r="T50" s="156"/>
      <c r="U50" s="112"/>
      <c r="V50" s="150"/>
      <c r="W50" s="170">
        <f t="shared" si="6"/>
        <v>2434</v>
      </c>
      <c r="X50" s="170">
        <f t="shared" si="7"/>
        <v>2500.9599999999996</v>
      </c>
      <c r="Z50" s="306"/>
      <c r="AA50" s="306"/>
    </row>
    <row r="51" spans="1:27" ht="16.5" customHeight="1">
      <c r="A51" s="139">
        <v>16</v>
      </c>
      <c r="B51" s="9"/>
      <c r="C51" s="9"/>
      <c r="D51" s="10" t="s">
        <v>50</v>
      </c>
      <c r="E51" s="25">
        <v>192</v>
      </c>
      <c r="F51" s="10" t="s">
        <v>51</v>
      </c>
      <c r="G51" s="45" t="s">
        <v>21</v>
      </c>
      <c r="H51" s="170"/>
      <c r="I51" s="170"/>
      <c r="J51" s="150"/>
      <c r="K51" s="156"/>
      <c r="L51" s="150"/>
      <c r="M51" s="150"/>
      <c r="N51" s="156"/>
      <c r="O51" s="150"/>
      <c r="P51" s="150"/>
      <c r="Q51" s="171"/>
      <c r="R51" s="150"/>
      <c r="S51" s="150"/>
      <c r="T51" s="156"/>
      <c r="U51" s="150"/>
      <c r="V51" s="150"/>
      <c r="W51" s="170">
        <f t="shared" si="6"/>
        <v>2608</v>
      </c>
      <c r="X51" s="170">
        <f t="shared" si="7"/>
        <v>2677.5699999999997</v>
      </c>
      <c r="Z51" s="308"/>
      <c r="AA51" s="308"/>
    </row>
    <row r="52" spans="1:27" ht="16.5" customHeight="1">
      <c r="A52" s="139">
        <v>17</v>
      </c>
      <c r="B52" s="9"/>
      <c r="C52" s="9"/>
      <c r="D52" s="10" t="s">
        <v>52</v>
      </c>
      <c r="E52" s="25">
        <v>191</v>
      </c>
      <c r="F52" s="10" t="s">
        <v>53</v>
      </c>
      <c r="G52" s="45" t="s">
        <v>21</v>
      </c>
      <c r="H52" s="170"/>
      <c r="I52" s="170"/>
      <c r="J52" s="150"/>
      <c r="K52" s="156"/>
      <c r="L52" s="112"/>
      <c r="M52" s="150"/>
      <c r="N52" s="156"/>
      <c r="O52" s="112"/>
      <c r="P52" s="150"/>
      <c r="Q52" s="294"/>
      <c r="R52" s="112"/>
      <c r="S52" s="150"/>
      <c r="T52" s="156"/>
      <c r="U52" s="112"/>
      <c r="V52" s="150"/>
      <c r="W52" s="170">
        <f t="shared" si="6"/>
        <v>3010</v>
      </c>
      <c r="X52" s="170">
        <f t="shared" si="7"/>
        <v>3085.6</v>
      </c>
      <c r="Z52" s="306"/>
      <c r="AA52" s="306"/>
    </row>
    <row r="53" spans="1:27" ht="16.5" customHeight="1">
      <c r="A53" s="139">
        <v>18</v>
      </c>
      <c r="B53" s="9"/>
      <c r="C53" s="10" t="s">
        <v>54</v>
      </c>
      <c r="D53" s="13"/>
      <c r="E53" s="9">
        <v>121</v>
      </c>
      <c r="F53" s="13"/>
      <c r="G53" s="45" t="s">
        <v>21</v>
      </c>
      <c r="H53" s="170"/>
      <c r="I53" s="170"/>
      <c r="J53" s="150"/>
      <c r="K53" s="156"/>
      <c r="L53" s="112"/>
      <c r="M53" s="150"/>
      <c r="N53" s="156"/>
      <c r="O53" s="112"/>
      <c r="P53" s="150"/>
      <c r="Q53" s="294"/>
      <c r="R53" s="112"/>
      <c r="S53" s="150"/>
      <c r="T53" s="156"/>
      <c r="U53" s="112"/>
      <c r="V53" s="150"/>
      <c r="W53" s="170">
        <f t="shared" si="6"/>
        <v>4040</v>
      </c>
      <c r="X53" s="170">
        <f t="shared" si="7"/>
        <v>4131.049999999999</v>
      </c>
      <c r="Z53" s="306"/>
      <c r="AA53" s="306"/>
    </row>
    <row r="54" spans="1:27" ht="16.5" customHeight="1">
      <c r="A54" s="139">
        <v>19</v>
      </c>
      <c r="B54" s="9"/>
      <c r="C54" s="10" t="s">
        <v>55</v>
      </c>
      <c r="D54" s="13"/>
      <c r="E54" s="9">
        <v>125</v>
      </c>
      <c r="F54" s="10" t="s">
        <v>56</v>
      </c>
      <c r="G54" s="45" t="s">
        <v>21</v>
      </c>
      <c r="H54" s="170"/>
      <c r="I54" s="170"/>
      <c r="J54" s="150"/>
      <c r="K54" s="156"/>
      <c r="L54" s="112"/>
      <c r="M54" s="150"/>
      <c r="N54" s="156"/>
      <c r="O54" s="112"/>
      <c r="P54" s="150"/>
      <c r="Q54" s="294"/>
      <c r="R54" s="112"/>
      <c r="S54" s="150"/>
      <c r="T54" s="156"/>
      <c r="U54" s="112"/>
      <c r="V54" s="150"/>
      <c r="W54" s="170">
        <f t="shared" si="6"/>
        <v>3640</v>
      </c>
      <c r="X54" s="170">
        <f t="shared" si="7"/>
        <v>3725.0499999999997</v>
      </c>
      <c r="Z54" s="306"/>
      <c r="AA54" s="306"/>
    </row>
    <row r="55" spans="1:27" s="276" customFormat="1" ht="25.5" customHeight="1">
      <c r="A55" s="44">
        <v>20</v>
      </c>
      <c r="B55" s="6" t="s">
        <v>57</v>
      </c>
      <c r="C55" s="11" t="s">
        <v>58</v>
      </c>
      <c r="D55" s="14"/>
      <c r="E55" s="7"/>
      <c r="F55" s="21" t="s">
        <v>59</v>
      </c>
      <c r="G55" s="44" t="s">
        <v>21</v>
      </c>
      <c r="H55" s="82">
        <f>SUM(H57*0.75+H59*0.25)</f>
        <v>327.5</v>
      </c>
      <c r="I55" s="82">
        <f>SUM(I57*0.75+I59*0.25)</f>
        <v>345.98812499999997</v>
      </c>
      <c r="J55" s="82"/>
      <c r="K55" s="82">
        <f aca="true" t="shared" si="8" ref="K55:U55">SUM(K57*0.75+K59*0.25)</f>
        <v>332.5</v>
      </c>
      <c r="L55" s="82">
        <f t="shared" si="8"/>
        <v>351.113875</v>
      </c>
      <c r="M55" s="82"/>
      <c r="N55" s="82">
        <f t="shared" si="8"/>
        <v>337.5</v>
      </c>
      <c r="O55" s="82">
        <f t="shared" si="8"/>
        <v>356.239625</v>
      </c>
      <c r="P55" s="150"/>
      <c r="Q55" s="82">
        <f t="shared" si="8"/>
        <v>337.5</v>
      </c>
      <c r="R55" s="82">
        <f t="shared" si="8"/>
        <v>356.239625</v>
      </c>
      <c r="S55" s="82"/>
      <c r="T55" s="82">
        <f t="shared" si="8"/>
        <v>332.5</v>
      </c>
      <c r="U55" s="82">
        <f t="shared" si="8"/>
        <v>351.113875</v>
      </c>
      <c r="V55" s="299"/>
      <c r="W55" s="82">
        <f t="shared" si="6"/>
        <v>323.40909090909093</v>
      </c>
      <c r="X55" s="82">
        <f t="shared" si="7"/>
        <v>341.7600340909091</v>
      </c>
      <c r="Y55" s="304"/>
      <c r="Z55" s="309"/>
      <c r="AA55" s="309"/>
    </row>
    <row r="56" spans="1:24" ht="16.5" customHeight="1">
      <c r="A56" s="45">
        <v>21</v>
      </c>
      <c r="B56" s="9"/>
      <c r="C56" s="13" t="s">
        <v>60</v>
      </c>
      <c r="D56" s="13"/>
      <c r="E56" s="9">
        <v>832</v>
      </c>
      <c r="F56" s="10" t="s">
        <v>61</v>
      </c>
      <c r="G56" s="45" t="s">
        <v>21</v>
      </c>
      <c r="H56" s="23">
        <f>H25+15</f>
        <v>340</v>
      </c>
      <c r="I56" s="287">
        <f>(H56+10)*1.015*1.01</f>
        <v>358.80249999999995</v>
      </c>
      <c r="J56" s="23"/>
      <c r="K56" s="288">
        <f>H25+20</f>
        <v>345</v>
      </c>
      <c r="L56" s="287">
        <f>(K56+10)*1.015*1.01</f>
        <v>363.92825</v>
      </c>
      <c r="M56" s="23"/>
      <c r="N56" s="23">
        <f>H25+25</f>
        <v>350</v>
      </c>
      <c r="O56" s="287">
        <f>(N56+10)*1.015*1.01</f>
        <v>369.054</v>
      </c>
      <c r="P56" s="23"/>
      <c r="Q56" s="23">
        <f>K25+25</f>
        <v>350</v>
      </c>
      <c r="R56" s="287">
        <f>(Q56+10)*1.015*1.01</f>
        <v>369.054</v>
      </c>
      <c r="S56" s="23"/>
      <c r="T56" s="23">
        <f>H25+21</f>
        <v>346</v>
      </c>
      <c r="U56" s="287">
        <f>(T56+10)*1.015*1.01</f>
        <v>364.9534</v>
      </c>
      <c r="V56" s="23"/>
      <c r="W56" s="23">
        <f t="shared" si="6"/>
        <v>336</v>
      </c>
      <c r="X56" s="300">
        <f t="shared" si="7"/>
        <v>354.66760454545454</v>
      </c>
    </row>
    <row r="57" spans="1:24" ht="16.5" customHeight="1">
      <c r="A57" s="45">
        <v>22</v>
      </c>
      <c r="B57" s="9"/>
      <c r="C57" s="13" t="s">
        <v>60</v>
      </c>
      <c r="D57" s="13"/>
      <c r="E57" s="9"/>
      <c r="F57" s="10" t="s">
        <v>62</v>
      </c>
      <c r="G57" s="45" t="s">
        <v>21</v>
      </c>
      <c r="H57" s="23">
        <f>H26+15</f>
        <v>320</v>
      </c>
      <c r="I57" s="287">
        <f>(H57+10)*1.015*1.01</f>
        <v>338.29949999999997</v>
      </c>
      <c r="J57" s="23"/>
      <c r="K57" s="288">
        <f>H26+20</f>
        <v>325</v>
      </c>
      <c r="L57" s="287">
        <f>(K57+10)*1.015*1.01</f>
        <v>343.42525</v>
      </c>
      <c r="M57" s="23"/>
      <c r="N57" s="23">
        <f>H26+25</f>
        <v>330</v>
      </c>
      <c r="O57" s="287">
        <f>(N57+10)*1.015*1.01</f>
        <v>348.551</v>
      </c>
      <c r="P57" s="23"/>
      <c r="Q57" s="23">
        <f>K26+25</f>
        <v>330</v>
      </c>
      <c r="R57" s="287">
        <f>(Q57+10)*1.015*1.01</f>
        <v>348.551</v>
      </c>
      <c r="S57" s="23"/>
      <c r="T57" s="23">
        <f>H26+20</f>
        <v>325</v>
      </c>
      <c r="U57" s="287">
        <f>(T57+10)*1.015*1.01</f>
        <v>343.42525</v>
      </c>
      <c r="V57" s="23"/>
      <c r="W57" s="23">
        <f t="shared" si="6"/>
        <v>315.90909090909093</v>
      </c>
      <c r="X57" s="300">
        <f t="shared" si="7"/>
        <v>334.07140909090907</v>
      </c>
    </row>
    <row r="58" spans="1:24" ht="16.5" customHeight="1">
      <c r="A58" s="45">
        <v>23</v>
      </c>
      <c r="B58" s="9"/>
      <c r="C58" s="13" t="s">
        <v>63</v>
      </c>
      <c r="D58" s="13"/>
      <c r="E58" s="9">
        <v>833</v>
      </c>
      <c r="F58" s="10" t="s">
        <v>61</v>
      </c>
      <c r="G58" s="45" t="s">
        <v>21</v>
      </c>
      <c r="H58" s="23">
        <f>H27+15</f>
        <v>370</v>
      </c>
      <c r="I58" s="287">
        <f>(H58+10)*1.015*1.01</f>
        <v>389.557</v>
      </c>
      <c r="J58" s="23"/>
      <c r="K58" s="288">
        <f>H27+20</f>
        <v>375</v>
      </c>
      <c r="L58" s="287">
        <f>(K58+10)*1.015*1.01</f>
        <v>394.68275</v>
      </c>
      <c r="M58" s="23"/>
      <c r="N58" s="23">
        <f>H27+25</f>
        <v>380</v>
      </c>
      <c r="O58" s="287">
        <f>(N58+10)*1.015*1.01</f>
        <v>399.8085</v>
      </c>
      <c r="P58" s="23"/>
      <c r="Q58" s="23">
        <f>K27+25</f>
        <v>380</v>
      </c>
      <c r="R58" s="287">
        <f>(Q58+10)*1.015*1.01</f>
        <v>399.8085</v>
      </c>
      <c r="S58" s="23"/>
      <c r="T58" s="23">
        <f>H27+20</f>
        <v>375</v>
      </c>
      <c r="U58" s="287">
        <f>(T58+10)*1.015*1.01</f>
        <v>394.68275</v>
      </c>
      <c r="V58" s="23"/>
      <c r="W58" s="23">
        <f t="shared" si="6"/>
        <v>365.90909090909093</v>
      </c>
      <c r="X58" s="300">
        <f t="shared" si="7"/>
        <v>385.32890909090906</v>
      </c>
    </row>
    <row r="59" spans="1:24" ht="16.5" customHeight="1">
      <c r="A59" s="45">
        <v>24</v>
      </c>
      <c r="B59" s="9"/>
      <c r="C59" s="13" t="s">
        <v>63</v>
      </c>
      <c r="D59" s="13"/>
      <c r="E59" s="9"/>
      <c r="F59" s="10" t="s">
        <v>62</v>
      </c>
      <c r="G59" s="45" t="s">
        <v>21</v>
      </c>
      <c r="H59" s="23">
        <f>H28+15</f>
        <v>350</v>
      </c>
      <c r="I59" s="287">
        <f>(H59+10)*1.015*1.01</f>
        <v>369.054</v>
      </c>
      <c r="J59" s="23"/>
      <c r="K59" s="288">
        <f>H28+20</f>
        <v>355</v>
      </c>
      <c r="L59" s="287">
        <f>(K59+10)*1.015*1.01</f>
        <v>374.17974999999996</v>
      </c>
      <c r="M59" s="23"/>
      <c r="N59" s="23">
        <f>H28+25</f>
        <v>360</v>
      </c>
      <c r="O59" s="287">
        <f>(N59+10)*1.015*1.01</f>
        <v>379.30549999999994</v>
      </c>
      <c r="P59" s="23"/>
      <c r="Q59" s="23">
        <f>K28+25</f>
        <v>360</v>
      </c>
      <c r="R59" s="287">
        <f>(Q59+10)*1.015*1.01</f>
        <v>379.30549999999994</v>
      </c>
      <c r="S59" s="23"/>
      <c r="T59" s="23">
        <f>H28+20</f>
        <v>355</v>
      </c>
      <c r="U59" s="287">
        <f>(T59+10)*1.015*1.01</f>
        <v>374.17974999999996</v>
      </c>
      <c r="V59" s="23"/>
      <c r="W59" s="23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5">
        <v>25</v>
      </c>
      <c r="B60" s="6" t="s">
        <v>64</v>
      </c>
      <c r="C60" s="15" t="s">
        <v>65</v>
      </c>
      <c r="D60" s="16"/>
      <c r="E60" s="26"/>
      <c r="F60" s="27" t="s">
        <v>66</v>
      </c>
      <c r="G60" s="26" t="s">
        <v>67</v>
      </c>
      <c r="H60" s="28"/>
      <c r="I60" s="23">
        <f>(H60+10)*(1+0.015)*(1+0.01)</f>
        <v>10.251499999999998</v>
      </c>
      <c r="J60" s="112"/>
      <c r="K60" s="28"/>
      <c r="L60" s="38">
        <v>6.37</v>
      </c>
      <c r="M60" s="112"/>
      <c r="N60" s="28"/>
      <c r="O60" s="38">
        <v>6.37</v>
      </c>
      <c r="P60" s="291" t="s">
        <v>165</v>
      </c>
      <c r="Q60" s="28"/>
      <c r="R60" s="23">
        <f>(Q60+10)*(1+0.015)*(1+0.01)</f>
        <v>10.251499999999998</v>
      </c>
      <c r="S60" s="148"/>
      <c r="T60" s="28"/>
      <c r="U60" s="38">
        <v>6.37</v>
      </c>
      <c r="V60" s="123"/>
      <c r="W60" s="171"/>
      <c r="X60" s="171">
        <f t="shared" si="7"/>
        <v>7.075727272727272</v>
      </c>
    </row>
    <row r="61" spans="1:24" ht="16.5" customHeight="1" hidden="1">
      <c r="A61" s="45">
        <v>26</v>
      </c>
      <c r="B61" s="6"/>
      <c r="C61" s="15" t="s">
        <v>65</v>
      </c>
      <c r="D61" s="16"/>
      <c r="E61" s="26">
        <v>862</v>
      </c>
      <c r="F61" s="27" t="s">
        <v>68</v>
      </c>
      <c r="G61" s="26" t="s">
        <v>67</v>
      </c>
      <c r="H61" s="28"/>
      <c r="I61" s="23">
        <f>(H61+10)*(1+0.015)*(1+0.01)</f>
        <v>10.251499999999998</v>
      </c>
      <c r="J61" s="112"/>
      <c r="K61" s="28"/>
      <c r="L61" s="38">
        <v>6.75</v>
      </c>
      <c r="M61" s="112"/>
      <c r="N61" s="28"/>
      <c r="O61" s="38">
        <v>6.75</v>
      </c>
      <c r="P61" s="291"/>
      <c r="Q61" s="28"/>
      <c r="R61" s="23">
        <f>(Q61+10)*(1+0.015)*(1+0.01)</f>
        <v>10.251499999999998</v>
      </c>
      <c r="S61" s="148"/>
      <c r="T61" s="28"/>
      <c r="U61" s="38">
        <v>6.75</v>
      </c>
      <c r="V61" s="123"/>
      <c r="W61" s="171"/>
      <c r="X61" s="171">
        <f t="shared" si="7"/>
        <v>7.386636363636362</v>
      </c>
    </row>
    <row r="62" spans="1:24" ht="16.5" customHeight="1" hidden="1">
      <c r="A62" s="45">
        <v>27</v>
      </c>
      <c r="B62" s="17"/>
      <c r="C62" s="10" t="s">
        <v>69</v>
      </c>
      <c r="D62" s="18"/>
      <c r="E62" s="26">
        <v>863</v>
      </c>
      <c r="F62" s="27" t="s">
        <v>70</v>
      </c>
      <c r="G62" s="148" t="s">
        <v>67</v>
      </c>
      <c r="H62" s="28"/>
      <c r="I62" s="23">
        <f>(H62+10)*(1+0.015)*(1+0.01)</f>
        <v>10.251499999999998</v>
      </c>
      <c r="J62" s="112"/>
      <c r="K62" s="28"/>
      <c r="L62" s="38">
        <v>5.75</v>
      </c>
      <c r="M62" s="112"/>
      <c r="N62" s="28"/>
      <c r="O62" s="38">
        <v>5.75</v>
      </c>
      <c r="P62" s="291" t="s">
        <v>165</v>
      </c>
      <c r="Q62" s="28"/>
      <c r="R62" s="23">
        <f>(Q62+10)*(1+0.015)*(1+0.01)</f>
        <v>10.251499999999998</v>
      </c>
      <c r="S62" s="148"/>
      <c r="T62" s="28"/>
      <c r="U62" s="38">
        <v>5.75</v>
      </c>
      <c r="V62" s="123"/>
      <c r="W62" s="171"/>
      <c r="X62" s="171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9"/>
      <c r="N2" s="284"/>
      <c r="O2" s="284"/>
      <c r="P2" s="289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3" t="s">
        <v>80</v>
      </c>
    </row>
    <row r="4" spans="1:30" s="274" customFormat="1" ht="20.25" customHeight="1">
      <c r="A4" s="139"/>
      <c r="B4" s="139"/>
      <c r="C4" s="140"/>
      <c r="D4" s="141"/>
      <c r="E4" s="139"/>
      <c r="F4" s="139"/>
      <c r="G4" s="139"/>
      <c r="H4" s="221" t="s">
        <v>14</v>
      </c>
      <c r="I4" s="221" t="s">
        <v>15</v>
      </c>
      <c r="J4" s="285" t="s">
        <v>106</v>
      </c>
      <c r="K4" s="221" t="s">
        <v>14</v>
      </c>
      <c r="L4" s="221" t="s">
        <v>15</v>
      </c>
      <c r="M4" s="285" t="s">
        <v>106</v>
      </c>
      <c r="N4" s="221" t="s">
        <v>14</v>
      </c>
      <c r="O4" s="221" t="s">
        <v>15</v>
      </c>
      <c r="P4" s="285" t="s">
        <v>106</v>
      </c>
      <c r="Q4" s="221" t="s">
        <v>14</v>
      </c>
      <c r="R4" s="221" t="s">
        <v>15</v>
      </c>
      <c r="S4" s="285" t="s">
        <v>106</v>
      </c>
      <c r="T4" s="221" t="s">
        <v>14</v>
      </c>
      <c r="U4" s="221" t="s">
        <v>15</v>
      </c>
      <c r="V4" s="285" t="s">
        <v>106</v>
      </c>
      <c r="W4" s="221" t="s">
        <v>14</v>
      </c>
      <c r="X4" s="221" t="s">
        <v>15</v>
      </c>
      <c r="Y4" s="285" t="s">
        <v>106</v>
      </c>
      <c r="Z4" s="43"/>
      <c r="AB4" s="43" t="s">
        <v>14</v>
      </c>
      <c r="AC4" s="43" t="s">
        <v>15</v>
      </c>
      <c r="AD4" s="43" t="s">
        <v>106</v>
      </c>
    </row>
    <row r="5" spans="1:30" s="275" customFormat="1" ht="24.75" customHeight="1">
      <c r="A5" s="142">
        <v>1</v>
      </c>
      <c r="B5" s="6" t="s">
        <v>16</v>
      </c>
      <c r="C5" s="6" t="s">
        <v>17</v>
      </c>
      <c r="D5" s="8" t="s">
        <v>18</v>
      </c>
      <c r="E5" s="9" t="s">
        <v>19</v>
      </c>
      <c r="F5" s="21" t="s">
        <v>20</v>
      </c>
      <c r="G5" s="44" t="s">
        <v>21</v>
      </c>
      <c r="H5" s="82">
        <f>H6*0.8+H7*0.2</f>
        <v>2314</v>
      </c>
      <c r="I5" s="82">
        <f>I6*0.8+I7*0.2</f>
        <v>2379.16</v>
      </c>
      <c r="J5" s="149"/>
      <c r="K5" s="170"/>
      <c r="L5" s="170"/>
      <c r="M5" s="149"/>
      <c r="N5" s="170"/>
      <c r="O5" s="170"/>
      <c r="P5" s="149"/>
      <c r="Q5" s="170"/>
      <c r="R5" s="170"/>
      <c r="S5" s="149"/>
      <c r="T5" s="170"/>
      <c r="U5" s="170"/>
      <c r="V5" s="155"/>
      <c r="W5" s="170"/>
      <c r="X5" s="170"/>
      <c r="Y5" s="149"/>
      <c r="Z5" s="44">
        <v>17</v>
      </c>
      <c r="AB5" s="22">
        <f>(AB6*0.8+AB7*0.2)</f>
        <v>3552</v>
      </c>
      <c r="AC5" s="22">
        <f>(AC6*0.8+AC7*0.2)</f>
        <v>3641.6</v>
      </c>
      <c r="AD5" s="29"/>
    </row>
    <row r="6" spans="1:30" s="273" customFormat="1" ht="29.25" customHeight="1">
      <c r="A6" s="139">
        <v>2</v>
      </c>
      <c r="B6" s="9"/>
      <c r="C6" s="9"/>
      <c r="D6" s="10" t="s">
        <v>22</v>
      </c>
      <c r="E6" s="9"/>
      <c r="F6" s="10" t="s">
        <v>23</v>
      </c>
      <c r="G6" s="45" t="s">
        <v>21</v>
      </c>
      <c r="H6" s="112">
        <f>(2260+2300+2360+2310+2340)/5</f>
        <v>2314</v>
      </c>
      <c r="I6" s="23">
        <f aca="true" t="shared" si="0" ref="I6:I23">(H6+30)*1.015</f>
        <v>2379.16</v>
      </c>
      <c r="J6" s="150"/>
      <c r="K6" s="112"/>
      <c r="L6" s="23"/>
      <c r="M6" s="150"/>
      <c r="N6" s="112"/>
      <c r="O6" s="23"/>
      <c r="P6" s="150"/>
      <c r="Q6" s="112"/>
      <c r="R6" s="112"/>
      <c r="S6" s="150"/>
      <c r="T6" s="112"/>
      <c r="U6" s="112"/>
      <c r="V6" s="156"/>
      <c r="W6" s="112"/>
      <c r="X6" s="112"/>
      <c r="Y6" s="150"/>
      <c r="Z6" s="45">
        <v>17</v>
      </c>
      <c r="AB6" s="23">
        <v>3570</v>
      </c>
      <c r="AC6" s="23">
        <v>3660</v>
      </c>
      <c r="AD6" s="310" t="s">
        <v>156</v>
      </c>
    </row>
    <row r="7" spans="1:30" s="273" customFormat="1" ht="16.5" customHeight="1">
      <c r="A7" s="139">
        <v>3</v>
      </c>
      <c r="B7" s="9"/>
      <c r="C7" s="9"/>
      <c r="D7" s="10" t="s">
        <v>24</v>
      </c>
      <c r="E7" s="9"/>
      <c r="F7" s="10" t="s">
        <v>25</v>
      </c>
      <c r="G7" s="45" t="s">
        <v>21</v>
      </c>
      <c r="H7" s="112">
        <f>(2260+2300+2360+2310+2340)/5</f>
        <v>2314</v>
      </c>
      <c r="I7" s="23">
        <f t="shared" si="0"/>
        <v>2379.16</v>
      </c>
      <c r="J7" s="260" t="s">
        <v>89</v>
      </c>
      <c r="K7" s="112"/>
      <c r="L7" s="23"/>
      <c r="M7" s="150"/>
      <c r="N7" s="112"/>
      <c r="O7" s="23"/>
      <c r="P7" s="150"/>
      <c r="Q7" s="112"/>
      <c r="R7" s="112"/>
      <c r="S7" s="150"/>
      <c r="T7" s="112"/>
      <c r="U7" s="112"/>
      <c r="V7" s="156"/>
      <c r="W7" s="112"/>
      <c r="X7" s="112"/>
      <c r="Y7" s="150"/>
      <c r="Z7" s="45">
        <v>17</v>
      </c>
      <c r="AB7" s="23">
        <v>3480</v>
      </c>
      <c r="AC7" s="23">
        <v>3568</v>
      </c>
      <c r="AD7" s="310" t="s">
        <v>89</v>
      </c>
    </row>
    <row r="8" spans="1:30" s="275" customFormat="1" ht="35.25" customHeight="1">
      <c r="A8" s="142">
        <v>4</v>
      </c>
      <c r="B8" s="9"/>
      <c r="C8" s="6" t="s">
        <v>26</v>
      </c>
      <c r="D8" s="11" t="s">
        <v>27</v>
      </c>
      <c r="E8" s="9">
        <v>112</v>
      </c>
      <c r="F8" s="21" t="s">
        <v>28</v>
      </c>
      <c r="G8" s="44" t="s">
        <v>21</v>
      </c>
      <c r="H8" s="82">
        <f>H9*0.03+H10*0.38+H11*0.27+H12*0.32</f>
        <v>2111.4</v>
      </c>
      <c r="I8" s="82">
        <f>I9*0.03+I10*0.38+I11*0.27+I12*0.32</f>
        <v>2173.5209999999997</v>
      </c>
      <c r="J8" s="36"/>
      <c r="K8" s="170"/>
      <c r="L8" s="170"/>
      <c r="M8" s="149"/>
      <c r="N8" s="170"/>
      <c r="O8" s="170"/>
      <c r="P8" s="149"/>
      <c r="Q8" s="170"/>
      <c r="R8" s="170"/>
      <c r="S8" s="149"/>
      <c r="T8" s="170"/>
      <c r="U8" s="170"/>
      <c r="V8" s="155"/>
      <c r="W8" s="170"/>
      <c r="X8" s="170"/>
      <c r="Y8" s="149"/>
      <c r="Z8" s="44">
        <v>17</v>
      </c>
      <c r="AB8" s="22">
        <f>(AB9*0.03+AB10*0.38+AB11*0.27+AB12*0.32)</f>
        <v>3531.8</v>
      </c>
      <c r="AC8" s="22">
        <f>(AC9*0.03+AC10*0.38+AC11*0.27+AC12*0.32)</f>
        <v>3620.88</v>
      </c>
      <c r="AD8" s="29"/>
    </row>
    <row r="9" spans="1:30" s="273" customFormat="1" ht="16.5" customHeight="1">
      <c r="A9" s="139">
        <v>5</v>
      </c>
      <c r="B9" s="9"/>
      <c r="C9" s="9"/>
      <c r="D9" s="10" t="s">
        <v>29</v>
      </c>
      <c r="E9" s="9"/>
      <c r="F9" s="10" t="s">
        <v>30</v>
      </c>
      <c r="G9" s="45" t="s">
        <v>21</v>
      </c>
      <c r="H9" s="112">
        <f>(2180+2220+2280+2230+2280)/5</f>
        <v>2238</v>
      </c>
      <c r="I9" s="23">
        <f t="shared" si="0"/>
        <v>2302.02</v>
      </c>
      <c r="J9" s="260" t="s">
        <v>90</v>
      </c>
      <c r="K9" s="112"/>
      <c r="L9" s="23"/>
      <c r="M9" s="150"/>
      <c r="N9" s="112"/>
      <c r="O9" s="23"/>
      <c r="P9" s="150"/>
      <c r="Q9" s="112"/>
      <c r="R9" s="112"/>
      <c r="S9" s="150"/>
      <c r="T9" s="112"/>
      <c r="U9" s="112"/>
      <c r="V9" s="156"/>
      <c r="W9" s="112"/>
      <c r="X9" s="112"/>
      <c r="Y9" s="150"/>
      <c r="Z9" s="45">
        <v>17</v>
      </c>
      <c r="AB9" s="23">
        <v>3580</v>
      </c>
      <c r="AC9" s="23">
        <v>3670</v>
      </c>
      <c r="AD9" s="310" t="s">
        <v>90</v>
      </c>
    </row>
    <row r="10" spans="1:30" s="273" customFormat="1" ht="16.5" customHeight="1">
      <c r="A10" s="139">
        <v>6</v>
      </c>
      <c r="B10" s="9"/>
      <c r="C10" s="9"/>
      <c r="D10" s="10" t="s">
        <v>29</v>
      </c>
      <c r="E10" s="9"/>
      <c r="F10" s="10" t="s">
        <v>31</v>
      </c>
      <c r="G10" s="45" t="s">
        <v>21</v>
      </c>
      <c r="H10" s="112">
        <f>(2110+2150+2210+2160+2210)/5</f>
        <v>2168</v>
      </c>
      <c r="I10" s="23">
        <f t="shared" si="0"/>
        <v>2230.97</v>
      </c>
      <c r="J10" s="260" t="s">
        <v>90</v>
      </c>
      <c r="K10" s="112"/>
      <c r="L10" s="23"/>
      <c r="M10" s="150"/>
      <c r="N10" s="112"/>
      <c r="O10" s="23"/>
      <c r="P10" s="150"/>
      <c r="Q10" s="112"/>
      <c r="R10" s="112"/>
      <c r="S10" s="150"/>
      <c r="T10" s="112"/>
      <c r="U10" s="112"/>
      <c r="V10" s="156"/>
      <c r="W10" s="112"/>
      <c r="X10" s="112"/>
      <c r="Y10" s="150"/>
      <c r="Z10" s="45">
        <v>17</v>
      </c>
      <c r="AB10" s="23">
        <v>3510</v>
      </c>
      <c r="AC10" s="23">
        <v>3599</v>
      </c>
      <c r="AD10" s="310" t="s">
        <v>90</v>
      </c>
    </row>
    <row r="11" spans="1:30" s="273" customFormat="1" ht="16.5" customHeight="1">
      <c r="A11" s="139">
        <v>7</v>
      </c>
      <c r="B11" s="9"/>
      <c r="C11" s="9"/>
      <c r="D11" s="10" t="s">
        <v>29</v>
      </c>
      <c r="E11" s="9"/>
      <c r="F11" s="10" t="s">
        <v>32</v>
      </c>
      <c r="G11" s="45" t="s">
        <v>21</v>
      </c>
      <c r="H11" s="112">
        <f>(1940+1980+2040+1990+2040)/5</f>
        <v>1998</v>
      </c>
      <c r="I11" s="23">
        <f t="shared" si="0"/>
        <v>2058.4199999999996</v>
      </c>
      <c r="J11" s="260" t="s">
        <v>90</v>
      </c>
      <c r="K11" s="112"/>
      <c r="L11" s="23"/>
      <c r="M11" s="150"/>
      <c r="N11" s="112"/>
      <c r="O11" s="23"/>
      <c r="P11" s="150"/>
      <c r="Q11" s="112"/>
      <c r="R11" s="112"/>
      <c r="S11" s="150"/>
      <c r="T11" s="112"/>
      <c r="U11" s="112"/>
      <c r="V11" s="156"/>
      <c r="W11" s="112"/>
      <c r="X11" s="112"/>
      <c r="Y11" s="150"/>
      <c r="Z11" s="45">
        <v>17</v>
      </c>
      <c r="AB11" s="23">
        <v>3500</v>
      </c>
      <c r="AC11" s="23">
        <v>3588</v>
      </c>
      <c r="AD11" s="310" t="s">
        <v>90</v>
      </c>
    </row>
    <row r="12" spans="1:30" s="273" customFormat="1" ht="16.5" customHeight="1">
      <c r="A12" s="139">
        <v>8</v>
      </c>
      <c r="B12" s="9"/>
      <c r="C12" s="9"/>
      <c r="D12" s="10" t="s">
        <v>29</v>
      </c>
      <c r="E12" s="9"/>
      <c r="F12" s="10" t="s">
        <v>33</v>
      </c>
      <c r="G12" s="45" t="s">
        <v>21</v>
      </c>
      <c r="H12" s="112">
        <f>(2070+2110+2170+2120+2170)/5</f>
        <v>2128</v>
      </c>
      <c r="I12" s="23">
        <f t="shared" si="0"/>
        <v>2190.37</v>
      </c>
      <c r="J12" s="260" t="s">
        <v>90</v>
      </c>
      <c r="K12" s="112"/>
      <c r="L12" s="23"/>
      <c r="M12" s="150"/>
      <c r="N12" s="112"/>
      <c r="O12" s="23"/>
      <c r="P12" s="150"/>
      <c r="Q12" s="112"/>
      <c r="R12" s="112"/>
      <c r="S12" s="150"/>
      <c r="T12" s="112"/>
      <c r="U12" s="112"/>
      <c r="V12" s="156"/>
      <c r="W12" s="112"/>
      <c r="X12" s="112"/>
      <c r="Y12" s="150"/>
      <c r="Z12" s="45">
        <v>17</v>
      </c>
      <c r="AB12" s="23">
        <v>3580</v>
      </c>
      <c r="AC12" s="23">
        <v>3670</v>
      </c>
      <c r="AD12" s="310" t="s">
        <v>90</v>
      </c>
    </row>
    <row r="13" spans="1:30" s="275" customFormat="1" ht="24.75" customHeight="1">
      <c r="A13" s="142">
        <v>9</v>
      </c>
      <c r="B13" s="9"/>
      <c r="C13" s="6" t="s">
        <v>34</v>
      </c>
      <c r="D13" s="11" t="s">
        <v>35</v>
      </c>
      <c r="E13" s="9">
        <v>182</v>
      </c>
      <c r="F13" s="21" t="s">
        <v>36</v>
      </c>
      <c r="G13" s="44" t="s">
        <v>21</v>
      </c>
      <c r="H13" s="83">
        <f>H14*0.27+H15*0.67+H16*0.06</f>
        <v>2296.3</v>
      </c>
      <c r="I13" s="83">
        <f>I14*0.27+I15*0.67+I16*0.06</f>
        <v>2361.1944999999996</v>
      </c>
      <c r="J13" s="196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5">
        <v>17</v>
      </c>
      <c r="AB13" s="24">
        <f>(AB14*0.27+AB15*0.67+AB16*0.06)</f>
        <v>3453.5</v>
      </c>
      <c r="AC13" s="24">
        <f>(AC14*0.27+AC15*0.67+AC16*0.06)</f>
        <v>3532.2599999999998</v>
      </c>
      <c r="AD13" s="23"/>
    </row>
    <row r="14" spans="1:31" s="273" customFormat="1" ht="12.75" customHeight="1">
      <c r="A14" s="139">
        <v>10</v>
      </c>
      <c r="B14" s="9"/>
      <c r="C14" s="9"/>
      <c r="D14" s="10" t="s">
        <v>37</v>
      </c>
      <c r="E14" s="9"/>
      <c r="F14" s="13" t="s">
        <v>38</v>
      </c>
      <c r="G14" s="45" t="s">
        <v>21</v>
      </c>
      <c r="H14" s="112">
        <f>(2200+2200+2200+2200+2200)/5+50</f>
        <v>2250</v>
      </c>
      <c r="I14" s="23">
        <f t="shared" si="0"/>
        <v>2314.2</v>
      </c>
      <c r="J14" s="260" t="s">
        <v>91</v>
      </c>
      <c r="K14" s="112"/>
      <c r="L14" s="23"/>
      <c r="M14" s="150"/>
      <c r="N14" s="112"/>
      <c r="O14" s="23"/>
      <c r="P14" s="150"/>
      <c r="Q14" s="112"/>
      <c r="R14" s="112"/>
      <c r="S14" s="150"/>
      <c r="T14" s="112"/>
      <c r="U14" s="112"/>
      <c r="V14" s="156"/>
      <c r="W14" s="112"/>
      <c r="X14" s="112"/>
      <c r="Y14" s="150"/>
      <c r="Z14" s="45">
        <v>17</v>
      </c>
      <c r="AB14" s="23">
        <v>3350</v>
      </c>
      <c r="AC14" s="23">
        <v>3410</v>
      </c>
      <c r="AD14" s="310" t="s">
        <v>91</v>
      </c>
      <c r="AE14" s="311" t="s">
        <v>157</v>
      </c>
    </row>
    <row r="15" spans="1:31" s="273" customFormat="1" ht="12.75" customHeight="1">
      <c r="A15" s="139">
        <v>11</v>
      </c>
      <c r="B15" s="9"/>
      <c r="C15" s="9"/>
      <c r="D15" s="10" t="s">
        <v>39</v>
      </c>
      <c r="E15" s="9"/>
      <c r="F15" s="13" t="s">
        <v>40</v>
      </c>
      <c r="G15" s="45" t="s">
        <v>21</v>
      </c>
      <c r="H15" s="112">
        <f>(2270+2270+2270+2270+2270)/5+50</f>
        <v>2320</v>
      </c>
      <c r="I15" s="23">
        <f t="shared" si="0"/>
        <v>2385.2499999999995</v>
      </c>
      <c r="J15" s="260" t="s">
        <v>92</v>
      </c>
      <c r="K15" s="112"/>
      <c r="L15" s="23"/>
      <c r="M15" s="150"/>
      <c r="N15" s="112"/>
      <c r="O15" s="23"/>
      <c r="P15" s="150"/>
      <c r="Q15" s="112"/>
      <c r="R15" s="112"/>
      <c r="S15" s="150"/>
      <c r="T15" s="112"/>
      <c r="U15" s="112"/>
      <c r="V15" s="156"/>
      <c r="W15" s="112"/>
      <c r="X15" s="112"/>
      <c r="Y15" s="150"/>
      <c r="Z15" s="45">
        <v>17</v>
      </c>
      <c r="AB15" s="23">
        <v>3500</v>
      </c>
      <c r="AC15" s="23">
        <v>3588</v>
      </c>
      <c r="AD15" s="310" t="s">
        <v>91</v>
      </c>
      <c r="AE15" s="312"/>
    </row>
    <row r="16" spans="1:31" s="273" customFormat="1" ht="12.75" customHeight="1">
      <c r="A16" s="139">
        <v>12</v>
      </c>
      <c r="B16" s="9"/>
      <c r="C16" s="9"/>
      <c r="D16" s="10" t="s">
        <v>41</v>
      </c>
      <c r="E16" s="9"/>
      <c r="F16" s="13" t="s">
        <v>42</v>
      </c>
      <c r="G16" s="45" t="s">
        <v>21</v>
      </c>
      <c r="H16" s="112">
        <f>(2190+2190+2190+2190+2190)/5+50</f>
        <v>2240</v>
      </c>
      <c r="I16" s="23">
        <f t="shared" si="0"/>
        <v>2304.0499999999997</v>
      </c>
      <c r="J16" s="260" t="s">
        <v>158</v>
      </c>
      <c r="K16" s="112"/>
      <c r="L16" s="23"/>
      <c r="M16" s="150"/>
      <c r="N16" s="112"/>
      <c r="O16" s="23"/>
      <c r="P16" s="150"/>
      <c r="Q16" s="112"/>
      <c r="R16" s="112"/>
      <c r="S16" s="150"/>
      <c r="T16" s="112"/>
      <c r="U16" s="112"/>
      <c r="V16" s="156"/>
      <c r="W16" s="112"/>
      <c r="X16" s="112"/>
      <c r="Y16" s="150"/>
      <c r="Z16" s="45">
        <v>17</v>
      </c>
      <c r="AB16" s="23">
        <v>3400</v>
      </c>
      <c r="AC16" s="23">
        <v>3460</v>
      </c>
      <c r="AD16" s="310" t="s">
        <v>91</v>
      </c>
      <c r="AE16" s="312"/>
    </row>
    <row r="17" spans="1:31" s="273" customFormat="1" ht="12.75" customHeight="1">
      <c r="A17" s="139">
        <v>13</v>
      </c>
      <c r="B17" s="9"/>
      <c r="C17" s="6" t="s">
        <v>43</v>
      </c>
      <c r="D17" s="9"/>
      <c r="E17" s="9">
        <v>183</v>
      </c>
      <c r="F17" s="13" t="s">
        <v>44</v>
      </c>
      <c r="G17" s="45" t="s">
        <v>21</v>
      </c>
      <c r="H17" s="83">
        <f>(2160+2200+2220+2220+2220)/5</f>
        <v>2204</v>
      </c>
      <c r="I17" s="23">
        <f t="shared" si="0"/>
        <v>2267.5099999999998</v>
      </c>
      <c r="J17" s="260"/>
      <c r="K17" s="112"/>
      <c r="L17" s="23"/>
      <c r="M17" s="150"/>
      <c r="N17" s="112"/>
      <c r="O17" s="23"/>
      <c r="P17" s="150"/>
      <c r="Q17" s="112"/>
      <c r="R17" s="112"/>
      <c r="S17" s="150"/>
      <c r="T17" s="112"/>
      <c r="U17" s="112"/>
      <c r="V17" s="156"/>
      <c r="W17" s="112"/>
      <c r="X17" s="112"/>
      <c r="Y17" s="150"/>
      <c r="Z17" s="45">
        <v>17</v>
      </c>
      <c r="AB17" s="24">
        <v>4400</v>
      </c>
      <c r="AC17" s="24">
        <v>4505</v>
      </c>
      <c r="AD17" s="310" t="s">
        <v>159</v>
      </c>
      <c r="AE17" s="312"/>
    </row>
    <row r="18" spans="1:30" s="275" customFormat="1" ht="39" customHeight="1">
      <c r="A18" s="142">
        <v>14</v>
      </c>
      <c r="B18" s="9"/>
      <c r="C18" s="6" t="s">
        <v>45</v>
      </c>
      <c r="D18" s="11" t="s">
        <v>46</v>
      </c>
      <c r="E18" s="25"/>
      <c r="F18" s="21" t="s">
        <v>47</v>
      </c>
      <c r="G18" s="44" t="s">
        <v>21</v>
      </c>
      <c r="H18" s="83">
        <f>H19*0.6+H20*0.2+H21*0.2</f>
        <v>2584</v>
      </c>
      <c r="I18" s="83">
        <f>I19*0.6+I20*0.2+I21*0.2</f>
        <v>2653.2099999999996</v>
      </c>
      <c r="J18" s="195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45">
        <v>17</v>
      </c>
      <c r="AB18" s="24">
        <f>(AB19*0.6+AB20*0.2+AB21*0.2)</f>
        <v>4680</v>
      </c>
      <c r="AC18" s="24">
        <f>(AC19*0.6+AC20*0.2+AC21*0.2)</f>
        <v>4789.8</v>
      </c>
      <c r="AD18" s="24"/>
    </row>
    <row r="19" spans="1:30" s="273" customFormat="1" ht="16.5" customHeight="1">
      <c r="A19" s="139">
        <v>15</v>
      </c>
      <c r="B19" s="9"/>
      <c r="C19" s="9"/>
      <c r="D19" s="10" t="s">
        <v>48</v>
      </c>
      <c r="E19" s="25"/>
      <c r="F19" s="10" t="s">
        <v>49</v>
      </c>
      <c r="G19" s="45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6"/>
      <c r="W19" s="112"/>
      <c r="X19" s="112"/>
      <c r="Y19" s="150"/>
      <c r="Z19" s="45">
        <v>17</v>
      </c>
      <c r="AB19" s="23">
        <v>3900</v>
      </c>
      <c r="AC19" s="23">
        <v>3996</v>
      </c>
      <c r="AD19" s="310" t="s">
        <v>161</v>
      </c>
    </row>
    <row r="20" spans="1:30" s="273" customFormat="1" ht="16.5" customHeight="1">
      <c r="A20" s="139">
        <v>16</v>
      </c>
      <c r="B20" s="9"/>
      <c r="C20" s="9"/>
      <c r="D20" s="10" t="s">
        <v>50</v>
      </c>
      <c r="E20" s="25">
        <v>192</v>
      </c>
      <c r="F20" s="10" t="s">
        <v>51</v>
      </c>
      <c r="G20" s="45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6"/>
      <c r="W20" s="150"/>
      <c r="X20" s="150"/>
      <c r="Y20" s="150"/>
      <c r="Z20" s="45">
        <v>17</v>
      </c>
      <c r="AB20" s="34">
        <v>6000</v>
      </c>
      <c r="AC20" s="34">
        <v>6133</v>
      </c>
      <c r="AD20" s="310" t="s">
        <v>161</v>
      </c>
    </row>
    <row r="21" spans="1:30" s="273" customFormat="1" ht="16.5" customHeight="1">
      <c r="A21" s="139">
        <v>17</v>
      </c>
      <c r="B21" s="9"/>
      <c r="C21" s="9"/>
      <c r="D21" s="10" t="s">
        <v>52</v>
      </c>
      <c r="E21" s="25">
        <v>191</v>
      </c>
      <c r="F21" s="10" t="s">
        <v>53</v>
      </c>
      <c r="G21" s="45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6"/>
      <c r="W21" s="112"/>
      <c r="X21" s="112"/>
      <c r="Y21" s="150"/>
      <c r="Z21" s="45">
        <v>17</v>
      </c>
      <c r="AB21" s="23">
        <v>5700</v>
      </c>
      <c r="AC21" s="23">
        <v>5828</v>
      </c>
      <c r="AD21" s="310" t="s">
        <v>161</v>
      </c>
    </row>
    <row r="22" spans="1:30" s="273" customFormat="1" ht="16.5" customHeight="1">
      <c r="A22" s="139">
        <v>18</v>
      </c>
      <c r="B22" s="9"/>
      <c r="C22" s="10" t="s">
        <v>54</v>
      </c>
      <c r="D22" s="13"/>
      <c r="E22" s="9">
        <v>121</v>
      </c>
      <c r="F22" s="13"/>
      <c r="G22" s="45" t="s">
        <v>21</v>
      </c>
      <c r="H22" s="83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6"/>
      <c r="W22" s="112"/>
      <c r="X22" s="112"/>
      <c r="Y22" s="150"/>
      <c r="Z22" s="45">
        <v>17</v>
      </c>
      <c r="AB22" s="24">
        <v>5150</v>
      </c>
      <c r="AC22" s="24">
        <v>5210</v>
      </c>
      <c r="AD22" s="34"/>
    </row>
    <row r="23" spans="1:30" s="273" customFormat="1" ht="16.5" customHeight="1">
      <c r="A23" s="139">
        <v>19</v>
      </c>
      <c r="B23" s="9"/>
      <c r="C23" s="10" t="s">
        <v>55</v>
      </c>
      <c r="D23" s="13"/>
      <c r="E23" s="9">
        <v>125</v>
      </c>
      <c r="F23" s="10" t="s">
        <v>56</v>
      </c>
      <c r="G23" s="45" t="s">
        <v>21</v>
      </c>
      <c r="H23" s="83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6"/>
      <c r="W23" s="112"/>
      <c r="X23" s="112"/>
      <c r="Y23" s="150"/>
      <c r="Z23" s="45">
        <v>17</v>
      </c>
      <c r="AB23" s="24">
        <v>5680</v>
      </c>
      <c r="AC23" s="24">
        <v>5780</v>
      </c>
      <c r="AD23" s="34"/>
    </row>
    <row r="24" spans="1:26" s="275" customFormat="1" ht="30.75" customHeight="1">
      <c r="A24" s="142">
        <v>20</v>
      </c>
      <c r="B24" s="6" t="s">
        <v>57</v>
      </c>
      <c r="C24" s="11" t="s">
        <v>58</v>
      </c>
      <c r="D24" s="14"/>
      <c r="E24" s="7"/>
      <c r="F24" s="21" t="s">
        <v>59</v>
      </c>
      <c r="G24" s="44" t="s">
        <v>21</v>
      </c>
      <c r="H24" s="83">
        <f>H26*0.75+H28*0.25</f>
        <v>312.5</v>
      </c>
      <c r="I24" s="83">
        <f>I26*0.75+I28*0.25</f>
        <v>330.61087499999996</v>
      </c>
      <c r="J24" s="149"/>
      <c r="K24" s="83">
        <f>K26*0.75+K28*0.25</f>
        <v>312.5</v>
      </c>
      <c r="L24" s="83">
        <f>L26*0.75+L28*0.25</f>
        <v>330.61087499999996</v>
      </c>
      <c r="M24" s="149"/>
      <c r="N24" s="83">
        <f>N26*0.75+N28*0.25</f>
        <v>312.5</v>
      </c>
      <c r="O24" s="83">
        <f>O26*0.75+O28*0.25</f>
        <v>330.61087499999996</v>
      </c>
      <c r="P24" s="149"/>
      <c r="Q24" s="83">
        <f>Q26*0.75+Q28*0.25</f>
        <v>327.5</v>
      </c>
      <c r="R24" s="83">
        <f>R26*0.75+R28*0.25</f>
        <v>345.61087499999996</v>
      </c>
      <c r="S24" s="149"/>
      <c r="T24" s="83">
        <f>T26*0.75+T28*0.25</f>
        <v>312.5</v>
      </c>
      <c r="U24" s="83">
        <f>U26*0.75+U28*0.25</f>
        <v>330.61087499999996</v>
      </c>
      <c r="V24" s="149"/>
      <c r="W24" s="83">
        <f>W26*0.75+W28*0.25</f>
        <v>312.5</v>
      </c>
      <c r="X24" s="83">
        <f>X26*0.75+X28*0.25</f>
        <v>330.61087499999996</v>
      </c>
      <c r="Y24" s="149"/>
      <c r="Z24" s="45">
        <v>17</v>
      </c>
    </row>
    <row r="25" spans="1:26" s="273" customFormat="1" ht="16.5" customHeight="1">
      <c r="A25" s="139">
        <v>21</v>
      </c>
      <c r="B25" s="9"/>
      <c r="C25" s="13" t="s">
        <v>60</v>
      </c>
      <c r="D25" s="13"/>
      <c r="E25" s="9">
        <v>832</v>
      </c>
      <c r="F25" s="10" t="s">
        <v>61</v>
      </c>
      <c r="G25" s="45" t="s">
        <v>21</v>
      </c>
      <c r="H25" s="126">
        <v>325</v>
      </c>
      <c r="I25" s="23">
        <f>(H25+10)*(1+0.015)*(1+0.01)</f>
        <v>343.42525</v>
      </c>
      <c r="J25" s="102" t="s">
        <v>164</v>
      </c>
      <c r="K25" s="126">
        <f aca="true" t="shared" si="1" ref="K25:L28">H25</f>
        <v>325</v>
      </c>
      <c r="L25" s="23">
        <f t="shared" si="1"/>
        <v>343.42525</v>
      </c>
      <c r="M25" s="290"/>
      <c r="N25" s="34">
        <f aca="true" t="shared" si="2" ref="N25:O28">H25</f>
        <v>325</v>
      </c>
      <c r="O25" s="128">
        <f t="shared" si="2"/>
        <v>343.42525</v>
      </c>
      <c r="P25" s="159"/>
      <c r="Q25" s="23">
        <f aca="true" t="shared" si="3" ref="Q25:R28">H25+15</f>
        <v>340</v>
      </c>
      <c r="R25" s="112">
        <f t="shared" si="3"/>
        <v>358.42525</v>
      </c>
      <c r="S25" s="159"/>
      <c r="T25" s="288">
        <f aca="true" t="shared" si="4" ref="T25:U28">H25</f>
        <v>325</v>
      </c>
      <c r="U25" s="23">
        <f t="shared" si="4"/>
        <v>343.42525</v>
      </c>
      <c r="V25" s="296"/>
      <c r="W25" s="112">
        <f aca="true" t="shared" si="5" ref="W25:X28">H25</f>
        <v>325</v>
      </c>
      <c r="X25" s="112">
        <f t="shared" si="5"/>
        <v>343.42525</v>
      </c>
      <c r="Y25" s="302"/>
      <c r="Z25" s="45">
        <v>17</v>
      </c>
    </row>
    <row r="26" spans="1:26" s="273" customFormat="1" ht="16.5" customHeight="1">
      <c r="A26" s="139">
        <v>22</v>
      </c>
      <c r="B26" s="9"/>
      <c r="C26" s="13" t="s">
        <v>60</v>
      </c>
      <c r="D26" s="13"/>
      <c r="E26" s="9"/>
      <c r="F26" s="10" t="s">
        <v>62</v>
      </c>
      <c r="G26" s="45" t="s">
        <v>21</v>
      </c>
      <c r="H26" s="126">
        <v>305</v>
      </c>
      <c r="I26" s="23">
        <f>(H26+10)*(1+0.015)*(1+0.01)</f>
        <v>322.92224999999996</v>
      </c>
      <c r="J26" s="102" t="s">
        <v>164</v>
      </c>
      <c r="K26" s="126">
        <f t="shared" si="1"/>
        <v>305</v>
      </c>
      <c r="L26" s="23">
        <f t="shared" si="1"/>
        <v>322.92224999999996</v>
      </c>
      <c r="M26" s="290"/>
      <c r="N26" s="34">
        <f t="shared" si="2"/>
        <v>305</v>
      </c>
      <c r="O26" s="128">
        <f t="shared" si="2"/>
        <v>322.92224999999996</v>
      </c>
      <c r="P26" s="159"/>
      <c r="Q26" s="23">
        <f t="shared" si="3"/>
        <v>320</v>
      </c>
      <c r="R26" s="112">
        <f t="shared" si="3"/>
        <v>337.92224999999996</v>
      </c>
      <c r="S26" s="159"/>
      <c r="T26" s="288">
        <f t="shared" si="4"/>
        <v>305</v>
      </c>
      <c r="U26" s="23">
        <f t="shared" si="4"/>
        <v>322.92224999999996</v>
      </c>
      <c r="V26" s="296"/>
      <c r="W26" s="112">
        <f t="shared" si="5"/>
        <v>305</v>
      </c>
      <c r="X26" s="112">
        <f t="shared" si="5"/>
        <v>322.92224999999996</v>
      </c>
      <c r="Y26" s="302"/>
      <c r="Z26" s="45">
        <v>17</v>
      </c>
    </row>
    <row r="27" spans="1:26" s="273" customFormat="1" ht="16.5" customHeight="1">
      <c r="A27" s="139">
        <v>23</v>
      </c>
      <c r="B27" s="9"/>
      <c r="C27" s="13" t="s">
        <v>63</v>
      </c>
      <c r="D27" s="13"/>
      <c r="E27" s="9">
        <v>833</v>
      </c>
      <c r="F27" s="10" t="s">
        <v>61</v>
      </c>
      <c r="G27" s="45" t="s">
        <v>21</v>
      </c>
      <c r="H27" s="126">
        <v>355</v>
      </c>
      <c r="I27" s="23">
        <f>(H27+10)*(1+0.015)*(1+0.01)</f>
        <v>374.17974999999996</v>
      </c>
      <c r="J27" s="102" t="s">
        <v>164</v>
      </c>
      <c r="K27" s="126">
        <f t="shared" si="1"/>
        <v>355</v>
      </c>
      <c r="L27" s="23">
        <f t="shared" si="1"/>
        <v>374.17974999999996</v>
      </c>
      <c r="M27" s="290"/>
      <c r="N27" s="34">
        <f t="shared" si="2"/>
        <v>355</v>
      </c>
      <c r="O27" s="128">
        <f t="shared" si="2"/>
        <v>374.17974999999996</v>
      </c>
      <c r="P27" s="159"/>
      <c r="Q27" s="23">
        <f t="shared" si="3"/>
        <v>370</v>
      </c>
      <c r="R27" s="112">
        <f t="shared" si="3"/>
        <v>389.17974999999996</v>
      </c>
      <c r="S27" s="159"/>
      <c r="T27" s="288">
        <f t="shared" si="4"/>
        <v>355</v>
      </c>
      <c r="U27" s="23">
        <f t="shared" si="4"/>
        <v>374.17974999999996</v>
      </c>
      <c r="V27" s="296"/>
      <c r="W27" s="112">
        <f t="shared" si="5"/>
        <v>355</v>
      </c>
      <c r="X27" s="112">
        <f t="shared" si="5"/>
        <v>374.17974999999996</v>
      </c>
      <c r="Y27" s="302"/>
      <c r="Z27" s="45">
        <v>17</v>
      </c>
    </row>
    <row r="28" spans="1:26" s="273" customFormat="1" ht="16.5" customHeight="1">
      <c r="A28" s="139">
        <v>24</v>
      </c>
      <c r="B28" s="9"/>
      <c r="C28" s="13" t="s">
        <v>63</v>
      </c>
      <c r="D28" s="13"/>
      <c r="E28" s="9"/>
      <c r="F28" s="10" t="s">
        <v>62</v>
      </c>
      <c r="G28" s="45" t="s">
        <v>21</v>
      </c>
      <c r="H28" s="126">
        <v>335</v>
      </c>
      <c r="I28" s="23">
        <f>(H28+10)*(1+0.015)*(1+0.01)</f>
        <v>353.67674999999997</v>
      </c>
      <c r="J28" s="102" t="s">
        <v>164</v>
      </c>
      <c r="K28" s="126">
        <f t="shared" si="1"/>
        <v>335</v>
      </c>
      <c r="L28" s="23">
        <f t="shared" si="1"/>
        <v>353.67674999999997</v>
      </c>
      <c r="M28" s="290"/>
      <c r="N28" s="34">
        <f t="shared" si="2"/>
        <v>335</v>
      </c>
      <c r="O28" s="128">
        <f t="shared" si="2"/>
        <v>353.67674999999997</v>
      </c>
      <c r="P28" s="159"/>
      <c r="Q28" s="23">
        <f t="shared" si="3"/>
        <v>350</v>
      </c>
      <c r="R28" s="112">
        <f t="shared" si="3"/>
        <v>368.67674999999997</v>
      </c>
      <c r="S28" s="159"/>
      <c r="T28" s="288">
        <f t="shared" si="4"/>
        <v>335</v>
      </c>
      <c r="U28" s="23">
        <f t="shared" si="4"/>
        <v>353.67674999999997</v>
      </c>
      <c r="V28" s="296"/>
      <c r="W28" s="112">
        <f t="shared" si="5"/>
        <v>335</v>
      </c>
      <c r="X28" s="112">
        <f t="shared" si="5"/>
        <v>353.67674999999997</v>
      </c>
      <c r="Y28" s="302"/>
      <c r="Z28" s="45">
        <v>17</v>
      </c>
    </row>
    <row r="29" spans="1:26" s="273" customFormat="1" ht="16.5" customHeight="1" hidden="1">
      <c r="A29" s="45">
        <v>25</v>
      </c>
      <c r="B29" s="6" t="s">
        <v>64</v>
      </c>
      <c r="C29" s="15" t="s">
        <v>65</v>
      </c>
      <c r="D29" s="16"/>
      <c r="E29" s="26"/>
      <c r="F29" s="27" t="s">
        <v>66</v>
      </c>
      <c r="G29" s="26" t="s">
        <v>67</v>
      </c>
      <c r="H29" s="28"/>
      <c r="I29" s="38">
        <v>6.37</v>
      </c>
      <c r="J29" s="286" t="s">
        <v>165</v>
      </c>
      <c r="K29" s="28"/>
      <c r="L29" s="38">
        <v>6.37</v>
      </c>
      <c r="M29" s="286" t="s">
        <v>165</v>
      </c>
      <c r="N29" s="28"/>
      <c r="O29" s="38">
        <v>6.37</v>
      </c>
      <c r="P29" s="159"/>
      <c r="Q29" s="28"/>
      <c r="R29" s="38">
        <v>6.37</v>
      </c>
      <c r="S29" s="293" t="s">
        <v>165</v>
      </c>
      <c r="T29" s="28"/>
      <c r="U29" s="38">
        <v>6.37</v>
      </c>
      <c r="V29" s="293" t="s">
        <v>165</v>
      </c>
      <c r="W29" s="28"/>
      <c r="X29" s="38">
        <v>6.37</v>
      </c>
      <c r="Y29" s="293" t="s">
        <v>165</v>
      </c>
      <c r="Z29" s="303"/>
    </row>
    <row r="30" spans="1:26" s="273" customFormat="1" ht="16.5" customHeight="1" hidden="1">
      <c r="A30" s="139">
        <v>26</v>
      </c>
      <c r="B30" s="6"/>
      <c r="C30" s="15" t="s">
        <v>65</v>
      </c>
      <c r="D30" s="16"/>
      <c r="E30" s="26">
        <v>862</v>
      </c>
      <c r="F30" s="27" t="s">
        <v>68</v>
      </c>
      <c r="G30" s="26" t="s">
        <v>67</v>
      </c>
      <c r="H30" s="28"/>
      <c r="I30" s="38">
        <v>6.75</v>
      </c>
      <c r="J30" s="286"/>
      <c r="K30" s="28"/>
      <c r="L30" s="38">
        <v>6.75</v>
      </c>
      <c r="M30" s="286"/>
      <c r="N30" s="28"/>
      <c r="O30" s="38">
        <v>6.75</v>
      </c>
      <c r="P30" s="159"/>
      <c r="Q30" s="28"/>
      <c r="R30" s="38">
        <v>6.75</v>
      </c>
      <c r="S30" s="293"/>
      <c r="T30" s="28"/>
      <c r="U30" s="38">
        <v>6.75</v>
      </c>
      <c r="V30" s="293"/>
      <c r="W30" s="28"/>
      <c r="X30" s="38">
        <v>6.75</v>
      </c>
      <c r="Y30" s="293"/>
      <c r="Z30" s="303"/>
    </row>
    <row r="31" spans="1:26" s="273" customFormat="1" ht="16.5" customHeight="1" hidden="1">
      <c r="A31" s="45">
        <v>27</v>
      </c>
      <c r="B31" s="17"/>
      <c r="C31" s="10" t="s">
        <v>69</v>
      </c>
      <c r="D31" s="18"/>
      <c r="E31" s="26">
        <v>863</v>
      </c>
      <c r="F31" s="27" t="s">
        <v>70</v>
      </c>
      <c r="G31" s="148" t="s">
        <v>67</v>
      </c>
      <c r="H31" s="28"/>
      <c r="I31" s="38">
        <v>5.75</v>
      </c>
      <c r="J31" s="286" t="s">
        <v>165</v>
      </c>
      <c r="K31" s="28"/>
      <c r="L31" s="38">
        <v>5.75</v>
      </c>
      <c r="M31" s="286" t="s">
        <v>165</v>
      </c>
      <c r="N31" s="28"/>
      <c r="O31" s="38">
        <v>5.75</v>
      </c>
      <c r="P31" s="159"/>
      <c r="Q31" s="28"/>
      <c r="R31" s="38">
        <v>5.75</v>
      </c>
      <c r="S31" s="293" t="s">
        <v>165</v>
      </c>
      <c r="T31" s="28"/>
      <c r="U31" s="38">
        <v>5.75</v>
      </c>
      <c r="V31" s="293" t="s">
        <v>165</v>
      </c>
      <c r="W31" s="28"/>
      <c r="X31" s="38">
        <v>5.75</v>
      </c>
      <c r="Y31" s="293" t="s">
        <v>165</v>
      </c>
      <c r="Z31" s="303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9"/>
      <c r="N33" s="284"/>
      <c r="O33" s="284"/>
      <c r="P33" s="289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29" t="s">
        <v>172</v>
      </c>
      <c r="X34" s="129" t="s">
        <v>173</v>
      </c>
      <c r="Y34" s="43" t="s">
        <v>80</v>
      </c>
    </row>
    <row r="35" spans="1:25" ht="14.25">
      <c r="A35" s="139"/>
      <c r="B35" s="139"/>
      <c r="C35" s="140"/>
      <c r="D35" s="141"/>
      <c r="E35" s="139"/>
      <c r="F35" s="139"/>
      <c r="G35" s="139"/>
      <c r="H35" s="221" t="s">
        <v>14</v>
      </c>
      <c r="I35" s="221" t="s">
        <v>15</v>
      </c>
      <c r="J35" s="285" t="s">
        <v>106</v>
      </c>
      <c r="K35" s="221" t="s">
        <v>14</v>
      </c>
      <c r="L35" s="221" t="s">
        <v>15</v>
      </c>
      <c r="M35" s="285" t="s">
        <v>106</v>
      </c>
      <c r="N35" s="221" t="s">
        <v>14</v>
      </c>
      <c r="O35" s="221" t="s">
        <v>15</v>
      </c>
      <c r="P35" s="285" t="s">
        <v>106</v>
      </c>
      <c r="Q35" s="221" t="s">
        <v>14</v>
      </c>
      <c r="R35" s="221" t="s">
        <v>15</v>
      </c>
      <c r="S35" s="285" t="s">
        <v>106</v>
      </c>
      <c r="T35" s="221" t="s">
        <v>14</v>
      </c>
      <c r="U35" s="221" t="s">
        <v>15</v>
      </c>
      <c r="V35" s="285" t="s">
        <v>106</v>
      </c>
      <c r="W35" s="297"/>
      <c r="X35" s="298"/>
      <c r="Y35" s="43"/>
    </row>
    <row r="36" spans="1:28" s="276" customFormat="1" ht="24.75" customHeight="1">
      <c r="A36" s="142">
        <v>1</v>
      </c>
      <c r="B36" s="6" t="s">
        <v>16</v>
      </c>
      <c r="C36" s="6" t="s">
        <v>17</v>
      </c>
      <c r="D36" s="8" t="s">
        <v>18</v>
      </c>
      <c r="E36" s="9" t="s">
        <v>19</v>
      </c>
      <c r="F36" s="21" t="s">
        <v>20</v>
      </c>
      <c r="G36" s="44" t="s">
        <v>21</v>
      </c>
      <c r="H36" s="170"/>
      <c r="I36" s="170"/>
      <c r="J36" s="149"/>
      <c r="K36" s="155"/>
      <c r="L36" s="170"/>
      <c r="M36" s="149"/>
      <c r="N36" s="155"/>
      <c r="O36" s="170"/>
      <c r="P36" s="149"/>
      <c r="Q36" s="171"/>
      <c r="R36" s="170"/>
      <c r="S36" s="149"/>
      <c r="T36" s="155"/>
      <c r="U36" s="170"/>
      <c r="V36" s="149"/>
      <c r="W36" s="82">
        <f aca="true" t="shared" si="6" ref="W36:X51">AVERAGE(H5,K5,N5,Q5,T5,W5,H36,K36,N36,Q36,T36)</f>
        <v>2314</v>
      </c>
      <c r="X36" s="82">
        <f t="shared" si="6"/>
        <v>2379.16</v>
      </c>
      <c r="Y36" s="44">
        <v>17</v>
      </c>
      <c r="Z36" s="304"/>
      <c r="AA36" s="305"/>
      <c r="AB36" s="305"/>
    </row>
    <row r="37" spans="1:28" ht="25.5">
      <c r="A37" s="139">
        <v>2</v>
      </c>
      <c r="B37" s="9"/>
      <c r="C37" s="9"/>
      <c r="D37" s="10" t="s">
        <v>22</v>
      </c>
      <c r="E37" s="9"/>
      <c r="F37" s="10" t="s">
        <v>23</v>
      </c>
      <c r="G37" s="45" t="s">
        <v>21</v>
      </c>
      <c r="H37" s="170"/>
      <c r="I37" s="170"/>
      <c r="J37" s="150"/>
      <c r="K37" s="156"/>
      <c r="L37" s="112"/>
      <c r="M37" s="150"/>
      <c r="N37" s="156"/>
      <c r="O37" s="112"/>
      <c r="P37" s="150"/>
      <c r="Q37" s="294"/>
      <c r="R37" s="112"/>
      <c r="S37" s="150"/>
      <c r="T37" s="156"/>
      <c r="U37" s="112"/>
      <c r="V37" s="150"/>
      <c r="W37" s="170">
        <f t="shared" si="6"/>
        <v>2314</v>
      </c>
      <c r="X37" s="170">
        <f t="shared" si="6"/>
        <v>2379.16</v>
      </c>
      <c r="Y37" s="45">
        <v>17</v>
      </c>
      <c r="AA37" s="306"/>
      <c r="AB37" s="306"/>
    </row>
    <row r="38" spans="1:28" ht="14.25">
      <c r="A38" s="139">
        <v>3</v>
      </c>
      <c r="B38" s="9"/>
      <c r="C38" s="9"/>
      <c r="D38" s="10" t="s">
        <v>24</v>
      </c>
      <c r="E38" s="9"/>
      <c r="F38" s="10" t="s">
        <v>25</v>
      </c>
      <c r="G38" s="45" t="s">
        <v>21</v>
      </c>
      <c r="H38" s="170"/>
      <c r="I38" s="170"/>
      <c r="J38" s="150"/>
      <c r="K38" s="156"/>
      <c r="L38" s="112"/>
      <c r="M38" s="150"/>
      <c r="N38" s="156"/>
      <c r="O38" s="112"/>
      <c r="P38" s="150"/>
      <c r="Q38" s="294"/>
      <c r="R38" s="112"/>
      <c r="S38" s="150"/>
      <c r="T38" s="156"/>
      <c r="U38" s="112"/>
      <c r="V38" s="150"/>
      <c r="W38" s="170">
        <f t="shared" si="6"/>
        <v>2314</v>
      </c>
      <c r="X38" s="170">
        <f t="shared" si="6"/>
        <v>2379.16</v>
      </c>
      <c r="Y38" s="45">
        <v>17</v>
      </c>
      <c r="AA38" s="306"/>
      <c r="AB38" s="306"/>
    </row>
    <row r="39" spans="1:28" s="276" customFormat="1" ht="38.25" customHeight="1">
      <c r="A39" s="142">
        <v>4</v>
      </c>
      <c r="B39" s="9"/>
      <c r="C39" s="6" t="s">
        <v>26</v>
      </c>
      <c r="D39" s="11" t="s">
        <v>27</v>
      </c>
      <c r="E39" s="9">
        <v>112</v>
      </c>
      <c r="F39" s="21" t="s">
        <v>28</v>
      </c>
      <c r="G39" s="44" t="s">
        <v>21</v>
      </c>
      <c r="H39" s="170"/>
      <c r="I39" s="170"/>
      <c r="J39" s="150"/>
      <c r="K39" s="155"/>
      <c r="L39" s="170"/>
      <c r="M39" s="149"/>
      <c r="N39" s="155"/>
      <c r="O39" s="170"/>
      <c r="P39" s="149"/>
      <c r="Q39" s="171"/>
      <c r="R39" s="170"/>
      <c r="S39" s="150"/>
      <c r="T39" s="155"/>
      <c r="U39" s="170"/>
      <c r="V39" s="149"/>
      <c r="W39" s="82">
        <f t="shared" si="6"/>
        <v>2111.4</v>
      </c>
      <c r="X39" s="82">
        <f t="shared" si="6"/>
        <v>2173.5209999999997</v>
      </c>
      <c r="Y39" s="44">
        <v>17</v>
      </c>
      <c r="Z39" s="304"/>
      <c r="AA39" s="305"/>
      <c r="AB39" s="305"/>
    </row>
    <row r="40" spans="1:28" ht="16.5" customHeight="1">
      <c r="A40" s="139">
        <v>5</v>
      </c>
      <c r="B40" s="9"/>
      <c r="C40" s="9"/>
      <c r="D40" s="10" t="s">
        <v>29</v>
      </c>
      <c r="E40" s="9"/>
      <c r="F40" s="10" t="s">
        <v>30</v>
      </c>
      <c r="G40" s="45" t="s">
        <v>21</v>
      </c>
      <c r="H40" s="170"/>
      <c r="I40" s="170"/>
      <c r="J40" s="150"/>
      <c r="K40" s="156"/>
      <c r="L40" s="112"/>
      <c r="M40" s="150"/>
      <c r="N40" s="156"/>
      <c r="O40" s="112"/>
      <c r="P40" s="150"/>
      <c r="Q40" s="294"/>
      <c r="R40" s="112"/>
      <c r="S40" s="150"/>
      <c r="T40" s="156"/>
      <c r="U40" s="112"/>
      <c r="V40" s="150"/>
      <c r="W40" s="170">
        <f t="shared" si="6"/>
        <v>2238</v>
      </c>
      <c r="X40" s="170">
        <f t="shared" si="6"/>
        <v>2302.02</v>
      </c>
      <c r="Y40" s="45">
        <v>17</v>
      </c>
      <c r="AA40" s="306"/>
      <c r="AB40" s="306"/>
    </row>
    <row r="41" spans="1:28" ht="16.5" customHeight="1">
      <c r="A41" s="139">
        <v>6</v>
      </c>
      <c r="B41" s="9"/>
      <c r="C41" s="9"/>
      <c r="D41" s="10" t="s">
        <v>29</v>
      </c>
      <c r="E41" s="9"/>
      <c r="F41" s="10" t="s">
        <v>31</v>
      </c>
      <c r="G41" s="45" t="s">
        <v>21</v>
      </c>
      <c r="H41" s="170"/>
      <c r="I41" s="170"/>
      <c r="J41" s="150"/>
      <c r="K41" s="156"/>
      <c r="L41" s="112"/>
      <c r="M41" s="150"/>
      <c r="N41" s="156"/>
      <c r="O41" s="112"/>
      <c r="P41" s="150"/>
      <c r="Q41" s="294"/>
      <c r="R41" s="112"/>
      <c r="S41" s="150"/>
      <c r="T41" s="156"/>
      <c r="U41" s="112"/>
      <c r="V41" s="150"/>
      <c r="W41" s="170">
        <f t="shared" si="6"/>
        <v>2168</v>
      </c>
      <c r="X41" s="170">
        <f t="shared" si="6"/>
        <v>2230.97</v>
      </c>
      <c r="Y41" s="45">
        <v>17</v>
      </c>
      <c r="AA41" s="306"/>
      <c r="AB41" s="306"/>
    </row>
    <row r="42" spans="1:28" ht="16.5" customHeight="1">
      <c r="A42" s="139">
        <v>7</v>
      </c>
      <c r="B42" s="9"/>
      <c r="C42" s="9"/>
      <c r="D42" s="10" t="s">
        <v>29</v>
      </c>
      <c r="E42" s="9"/>
      <c r="F42" s="10" t="s">
        <v>32</v>
      </c>
      <c r="G42" s="45" t="s">
        <v>21</v>
      </c>
      <c r="H42" s="170"/>
      <c r="I42" s="170"/>
      <c r="J42" s="150"/>
      <c r="K42" s="156"/>
      <c r="L42" s="112"/>
      <c r="M42" s="150"/>
      <c r="N42" s="156"/>
      <c r="O42" s="112"/>
      <c r="P42" s="150"/>
      <c r="Q42" s="294"/>
      <c r="R42" s="112"/>
      <c r="S42" s="150"/>
      <c r="T42" s="156"/>
      <c r="U42" s="112"/>
      <c r="V42" s="150"/>
      <c r="W42" s="170">
        <f t="shared" si="6"/>
        <v>1998</v>
      </c>
      <c r="X42" s="170">
        <f t="shared" si="6"/>
        <v>2058.4199999999996</v>
      </c>
      <c r="Y42" s="45">
        <v>17</v>
      </c>
      <c r="AA42" s="306"/>
      <c r="AB42" s="306"/>
    </row>
    <row r="43" spans="1:28" ht="16.5" customHeight="1">
      <c r="A43" s="139">
        <v>8</v>
      </c>
      <c r="B43" s="9"/>
      <c r="C43" s="9"/>
      <c r="D43" s="10" t="s">
        <v>29</v>
      </c>
      <c r="E43" s="9"/>
      <c r="F43" s="10" t="s">
        <v>33</v>
      </c>
      <c r="G43" s="45" t="s">
        <v>21</v>
      </c>
      <c r="H43" s="170"/>
      <c r="I43" s="170"/>
      <c r="J43" s="150"/>
      <c r="K43" s="156"/>
      <c r="L43" s="112"/>
      <c r="M43" s="150"/>
      <c r="N43" s="156"/>
      <c r="O43" s="112"/>
      <c r="P43" s="150"/>
      <c r="Q43" s="294"/>
      <c r="R43" s="112"/>
      <c r="S43" s="150"/>
      <c r="T43" s="156"/>
      <c r="U43" s="112"/>
      <c r="V43" s="150"/>
      <c r="W43" s="170">
        <f t="shared" si="6"/>
        <v>2128</v>
      </c>
      <c r="X43" s="170">
        <f t="shared" si="6"/>
        <v>2190.37</v>
      </c>
      <c r="Y43" s="45">
        <v>17</v>
      </c>
      <c r="AA43" s="306"/>
      <c r="AB43" s="306"/>
    </row>
    <row r="44" spans="1:28" s="276" customFormat="1" ht="25.5">
      <c r="A44" s="142">
        <v>9</v>
      </c>
      <c r="B44" s="9"/>
      <c r="C44" s="6" t="s">
        <v>34</v>
      </c>
      <c r="D44" s="11" t="s">
        <v>35</v>
      </c>
      <c r="E44" s="9">
        <v>182</v>
      </c>
      <c r="F44" s="21" t="s">
        <v>36</v>
      </c>
      <c r="G44" s="44" t="s">
        <v>21</v>
      </c>
      <c r="H44" s="170"/>
      <c r="I44" s="170"/>
      <c r="J44" s="150"/>
      <c r="K44" s="112"/>
      <c r="L44" s="112"/>
      <c r="M44" s="112"/>
      <c r="N44" s="112"/>
      <c r="O44" s="112"/>
      <c r="P44" s="112"/>
      <c r="Q44" s="294"/>
      <c r="R44" s="112"/>
      <c r="S44" s="150"/>
      <c r="T44" s="112"/>
      <c r="U44" s="112"/>
      <c r="V44" s="112"/>
      <c r="W44" s="82">
        <f t="shared" si="6"/>
        <v>2296.3</v>
      </c>
      <c r="X44" s="82">
        <f t="shared" si="6"/>
        <v>2361.1944999999996</v>
      </c>
      <c r="Y44" s="45">
        <v>17</v>
      </c>
      <c r="Z44" s="304"/>
      <c r="AA44" s="306"/>
      <c r="AB44" s="306"/>
    </row>
    <row r="45" spans="1:28" ht="16.5" customHeight="1">
      <c r="A45" s="139">
        <v>10</v>
      </c>
      <c r="B45" s="9"/>
      <c r="C45" s="9"/>
      <c r="D45" s="10" t="s">
        <v>37</v>
      </c>
      <c r="E45" s="9"/>
      <c r="F45" s="13" t="s">
        <v>38</v>
      </c>
      <c r="G45" s="45" t="s">
        <v>21</v>
      </c>
      <c r="H45" s="170"/>
      <c r="I45" s="170"/>
      <c r="J45" s="150"/>
      <c r="K45" s="156"/>
      <c r="L45" s="112"/>
      <c r="M45" s="150"/>
      <c r="N45" s="156"/>
      <c r="O45" s="112"/>
      <c r="P45" s="150"/>
      <c r="Q45" s="294"/>
      <c r="R45" s="112"/>
      <c r="S45" s="150"/>
      <c r="T45" s="156"/>
      <c r="U45" s="112"/>
      <c r="V45" s="150"/>
      <c r="W45" s="170">
        <f t="shared" si="6"/>
        <v>2250</v>
      </c>
      <c r="X45" s="170">
        <f t="shared" si="6"/>
        <v>2314.2</v>
      </c>
      <c r="Y45" s="45">
        <v>17</v>
      </c>
      <c r="AA45" s="306"/>
      <c r="AB45" s="306"/>
    </row>
    <row r="46" spans="1:28" ht="16.5" customHeight="1">
      <c r="A46" s="139">
        <v>11</v>
      </c>
      <c r="B46" s="9"/>
      <c r="C46" s="9"/>
      <c r="D46" s="10" t="s">
        <v>39</v>
      </c>
      <c r="E46" s="9"/>
      <c r="F46" s="13" t="s">
        <v>40</v>
      </c>
      <c r="G46" s="45" t="s">
        <v>21</v>
      </c>
      <c r="H46" s="170"/>
      <c r="I46" s="170"/>
      <c r="J46" s="150"/>
      <c r="K46" s="156"/>
      <c r="L46" s="112"/>
      <c r="M46" s="150"/>
      <c r="N46" s="156"/>
      <c r="O46" s="112"/>
      <c r="P46" s="150"/>
      <c r="Q46" s="294"/>
      <c r="R46" s="112"/>
      <c r="S46" s="150"/>
      <c r="T46" s="156"/>
      <c r="U46" s="112"/>
      <c r="V46" s="150"/>
      <c r="W46" s="170">
        <f t="shared" si="6"/>
        <v>2320</v>
      </c>
      <c r="X46" s="170">
        <f t="shared" si="6"/>
        <v>2385.2499999999995</v>
      </c>
      <c r="Y46" s="45">
        <v>17</v>
      </c>
      <c r="AA46" s="306"/>
      <c r="AB46" s="306"/>
    </row>
    <row r="47" spans="1:28" ht="16.5" customHeight="1">
      <c r="A47" s="139">
        <v>12</v>
      </c>
      <c r="B47" s="9"/>
      <c r="C47" s="9"/>
      <c r="D47" s="10" t="s">
        <v>41</v>
      </c>
      <c r="E47" s="9"/>
      <c r="F47" s="13" t="s">
        <v>42</v>
      </c>
      <c r="G47" s="45" t="s">
        <v>21</v>
      </c>
      <c r="H47" s="170"/>
      <c r="I47" s="170"/>
      <c r="J47" s="150"/>
      <c r="K47" s="156"/>
      <c r="L47" s="112"/>
      <c r="M47" s="150"/>
      <c r="N47" s="156"/>
      <c r="O47" s="112"/>
      <c r="P47" s="150"/>
      <c r="Q47" s="294"/>
      <c r="R47" s="112"/>
      <c r="S47" s="150"/>
      <c r="T47" s="156"/>
      <c r="U47" s="112"/>
      <c r="V47" s="150"/>
      <c r="W47" s="170">
        <f t="shared" si="6"/>
        <v>2240</v>
      </c>
      <c r="X47" s="170">
        <f t="shared" si="6"/>
        <v>2304.0499999999997</v>
      </c>
      <c r="Y47" s="45">
        <v>17</v>
      </c>
      <c r="AA47" s="306"/>
      <c r="AB47" s="306"/>
    </row>
    <row r="48" spans="1:28" ht="16.5" customHeight="1">
      <c r="A48" s="139">
        <v>13</v>
      </c>
      <c r="B48" s="9"/>
      <c r="C48" s="6" t="s">
        <v>43</v>
      </c>
      <c r="D48" s="9"/>
      <c r="E48" s="9">
        <v>183</v>
      </c>
      <c r="F48" s="13" t="s">
        <v>44</v>
      </c>
      <c r="G48" s="45" t="s">
        <v>21</v>
      </c>
      <c r="H48" s="170"/>
      <c r="I48" s="170"/>
      <c r="J48" s="150"/>
      <c r="K48" s="156"/>
      <c r="L48" s="112"/>
      <c r="M48" s="150"/>
      <c r="N48" s="156"/>
      <c r="O48" s="112"/>
      <c r="P48" s="150"/>
      <c r="Q48" s="294"/>
      <c r="R48" s="112"/>
      <c r="S48" s="150"/>
      <c r="T48" s="156"/>
      <c r="U48" s="112"/>
      <c r="V48" s="150"/>
      <c r="W48" s="170">
        <f t="shared" si="6"/>
        <v>2204</v>
      </c>
      <c r="X48" s="170">
        <f t="shared" si="6"/>
        <v>2267.5099999999998</v>
      </c>
      <c r="Y48" s="45">
        <v>17</v>
      </c>
      <c r="AA48" s="306"/>
      <c r="AB48" s="306"/>
    </row>
    <row r="49" spans="1:28" s="276" customFormat="1" ht="36.75">
      <c r="A49" s="142">
        <v>14</v>
      </c>
      <c r="B49" s="9"/>
      <c r="C49" s="6" t="s">
        <v>45</v>
      </c>
      <c r="D49" s="11" t="s">
        <v>46</v>
      </c>
      <c r="E49" s="25"/>
      <c r="F49" s="21" t="s">
        <v>47</v>
      </c>
      <c r="G49" s="44" t="s">
        <v>21</v>
      </c>
      <c r="H49" s="82"/>
      <c r="I49" s="82"/>
      <c r="J49" s="149"/>
      <c r="K49" s="83"/>
      <c r="L49" s="83"/>
      <c r="M49" s="149"/>
      <c r="N49" s="83"/>
      <c r="O49" s="83"/>
      <c r="P49" s="149"/>
      <c r="Q49" s="295"/>
      <c r="R49" s="83"/>
      <c r="S49" s="149"/>
      <c r="T49" s="83"/>
      <c r="U49" s="83"/>
      <c r="V49" s="149"/>
      <c r="W49" s="82">
        <f t="shared" si="6"/>
        <v>2584</v>
      </c>
      <c r="X49" s="82">
        <f t="shared" si="6"/>
        <v>2653.2099999999996</v>
      </c>
      <c r="Y49" s="45">
        <v>17</v>
      </c>
      <c r="Z49" s="304"/>
      <c r="AA49" s="307"/>
      <c r="AB49" s="307"/>
    </row>
    <row r="50" spans="1:28" ht="16.5" customHeight="1">
      <c r="A50" s="139">
        <v>15</v>
      </c>
      <c r="B50" s="9"/>
      <c r="C50" s="9"/>
      <c r="D50" s="10" t="s">
        <v>48</v>
      </c>
      <c r="E50" s="25"/>
      <c r="F50" s="10" t="s">
        <v>49</v>
      </c>
      <c r="G50" s="45" t="s">
        <v>21</v>
      </c>
      <c r="H50" s="170"/>
      <c r="I50" s="170"/>
      <c r="J50" s="150"/>
      <c r="K50" s="156"/>
      <c r="L50" s="112"/>
      <c r="M50" s="150"/>
      <c r="N50" s="156"/>
      <c r="O50" s="112"/>
      <c r="P50" s="150"/>
      <c r="Q50" s="294"/>
      <c r="R50" s="112"/>
      <c r="S50" s="150"/>
      <c r="T50" s="156"/>
      <c r="U50" s="112"/>
      <c r="V50" s="150"/>
      <c r="W50" s="170">
        <f t="shared" si="6"/>
        <v>2434</v>
      </c>
      <c r="X50" s="170">
        <f t="shared" si="6"/>
        <v>2500.9599999999996</v>
      </c>
      <c r="Y50" s="45">
        <v>17</v>
      </c>
      <c r="AA50" s="306"/>
      <c r="AB50" s="306"/>
    </row>
    <row r="51" spans="1:28" ht="16.5" customHeight="1">
      <c r="A51" s="139">
        <v>16</v>
      </c>
      <c r="B51" s="9"/>
      <c r="C51" s="9"/>
      <c r="D51" s="10" t="s">
        <v>50</v>
      </c>
      <c r="E51" s="25">
        <v>192</v>
      </c>
      <c r="F51" s="10" t="s">
        <v>51</v>
      </c>
      <c r="G51" s="45" t="s">
        <v>21</v>
      </c>
      <c r="H51" s="170"/>
      <c r="I51" s="170"/>
      <c r="J51" s="150"/>
      <c r="K51" s="156"/>
      <c r="L51" s="150"/>
      <c r="M51" s="150"/>
      <c r="N51" s="156"/>
      <c r="O51" s="150"/>
      <c r="P51" s="150"/>
      <c r="Q51" s="171"/>
      <c r="R51" s="150"/>
      <c r="S51" s="150"/>
      <c r="T51" s="156"/>
      <c r="U51" s="150"/>
      <c r="V51" s="150"/>
      <c r="W51" s="170">
        <f t="shared" si="6"/>
        <v>2608</v>
      </c>
      <c r="X51" s="170">
        <f t="shared" si="6"/>
        <v>2677.5699999999997</v>
      </c>
      <c r="Y51" s="45">
        <v>17</v>
      </c>
      <c r="AA51" s="308"/>
      <c r="AB51" s="308"/>
    </row>
    <row r="52" spans="1:28" ht="16.5" customHeight="1">
      <c r="A52" s="139">
        <v>17</v>
      </c>
      <c r="B52" s="9"/>
      <c r="C52" s="9"/>
      <c r="D52" s="10" t="s">
        <v>52</v>
      </c>
      <c r="E52" s="25">
        <v>191</v>
      </c>
      <c r="F52" s="10" t="s">
        <v>53</v>
      </c>
      <c r="G52" s="45" t="s">
        <v>21</v>
      </c>
      <c r="H52" s="170"/>
      <c r="I52" s="170"/>
      <c r="J52" s="150"/>
      <c r="K52" s="156"/>
      <c r="L52" s="112"/>
      <c r="M52" s="150"/>
      <c r="N52" s="156"/>
      <c r="O52" s="112"/>
      <c r="P52" s="150"/>
      <c r="Q52" s="294"/>
      <c r="R52" s="112"/>
      <c r="S52" s="150"/>
      <c r="T52" s="156"/>
      <c r="U52" s="112"/>
      <c r="V52" s="150"/>
      <c r="W52" s="170">
        <f aca="true" t="shared" si="7" ref="W52:X62">AVERAGE(H21,K21,N21,Q21,T21,W21,H52,K52,N52,Q52,T52)</f>
        <v>3010</v>
      </c>
      <c r="X52" s="170">
        <f t="shared" si="7"/>
        <v>3085.6</v>
      </c>
      <c r="Y52" s="45">
        <v>17</v>
      </c>
      <c r="AA52" s="306"/>
      <c r="AB52" s="306"/>
    </row>
    <row r="53" spans="1:28" ht="16.5" customHeight="1">
      <c r="A53" s="139">
        <v>18</v>
      </c>
      <c r="B53" s="9"/>
      <c r="C53" s="10" t="s">
        <v>54</v>
      </c>
      <c r="D53" s="13"/>
      <c r="E53" s="9">
        <v>121</v>
      </c>
      <c r="F53" s="13"/>
      <c r="G53" s="45" t="s">
        <v>21</v>
      </c>
      <c r="H53" s="170"/>
      <c r="I53" s="170"/>
      <c r="J53" s="150"/>
      <c r="K53" s="156"/>
      <c r="L53" s="112"/>
      <c r="M53" s="150"/>
      <c r="N53" s="156"/>
      <c r="O53" s="112"/>
      <c r="P53" s="150"/>
      <c r="Q53" s="294"/>
      <c r="R53" s="112"/>
      <c r="S53" s="150"/>
      <c r="T53" s="156"/>
      <c r="U53" s="112"/>
      <c r="V53" s="150"/>
      <c r="W53" s="170">
        <f t="shared" si="7"/>
        <v>4040</v>
      </c>
      <c r="X53" s="170">
        <f t="shared" si="7"/>
        <v>4131.049999999999</v>
      </c>
      <c r="Y53" s="45">
        <v>17</v>
      </c>
      <c r="AA53" s="306"/>
      <c r="AB53" s="306"/>
    </row>
    <row r="54" spans="1:28" ht="16.5" customHeight="1">
      <c r="A54" s="139">
        <v>19</v>
      </c>
      <c r="B54" s="9"/>
      <c r="C54" s="10" t="s">
        <v>55</v>
      </c>
      <c r="D54" s="13"/>
      <c r="E54" s="9">
        <v>125</v>
      </c>
      <c r="F54" s="10" t="s">
        <v>56</v>
      </c>
      <c r="G54" s="45" t="s">
        <v>21</v>
      </c>
      <c r="H54" s="170"/>
      <c r="I54" s="170"/>
      <c r="J54" s="150"/>
      <c r="K54" s="156"/>
      <c r="L54" s="112"/>
      <c r="M54" s="150"/>
      <c r="N54" s="156"/>
      <c r="O54" s="112"/>
      <c r="P54" s="150"/>
      <c r="Q54" s="294"/>
      <c r="R54" s="112"/>
      <c r="S54" s="150"/>
      <c r="T54" s="156"/>
      <c r="U54" s="112"/>
      <c r="V54" s="150"/>
      <c r="W54" s="170">
        <f t="shared" si="7"/>
        <v>3640</v>
      </c>
      <c r="X54" s="170">
        <f t="shared" si="7"/>
        <v>3725.0499999999997</v>
      </c>
      <c r="Y54" s="45">
        <v>17</v>
      </c>
      <c r="AA54" s="306"/>
      <c r="AB54" s="306"/>
    </row>
    <row r="55" spans="1:28" s="276" customFormat="1" ht="25.5" customHeight="1">
      <c r="A55" s="44">
        <v>20</v>
      </c>
      <c r="B55" s="6" t="s">
        <v>57</v>
      </c>
      <c r="C55" s="11" t="s">
        <v>58</v>
      </c>
      <c r="D55" s="14"/>
      <c r="E55" s="7"/>
      <c r="F55" s="21" t="s">
        <v>59</v>
      </c>
      <c r="G55" s="44" t="s">
        <v>21</v>
      </c>
      <c r="H55" s="82">
        <f>SUM(H57*0.75+H59*0.25)</f>
        <v>327.5</v>
      </c>
      <c r="I55" s="82">
        <f>SUM(I57*0.75+I59*0.25)</f>
        <v>345.98812499999997</v>
      </c>
      <c r="J55" s="82"/>
      <c r="K55" s="82">
        <f aca="true" t="shared" si="8" ref="K55:U55">SUM(K57*0.75+K59*0.25)</f>
        <v>332.5</v>
      </c>
      <c r="L55" s="82">
        <f t="shared" si="8"/>
        <v>351.113875</v>
      </c>
      <c r="M55" s="82"/>
      <c r="N55" s="82">
        <f t="shared" si="8"/>
        <v>337.5</v>
      </c>
      <c r="O55" s="82">
        <f t="shared" si="8"/>
        <v>356.239625</v>
      </c>
      <c r="P55" s="150"/>
      <c r="Q55" s="82">
        <f t="shared" si="8"/>
        <v>337.5</v>
      </c>
      <c r="R55" s="82">
        <f t="shared" si="8"/>
        <v>356.239625</v>
      </c>
      <c r="S55" s="82"/>
      <c r="T55" s="82">
        <f t="shared" si="8"/>
        <v>332.5</v>
      </c>
      <c r="U55" s="82">
        <f t="shared" si="8"/>
        <v>351.113875</v>
      </c>
      <c r="V55" s="299"/>
      <c r="W55" s="82">
        <f t="shared" si="7"/>
        <v>323.40909090909093</v>
      </c>
      <c r="X55" s="82">
        <f t="shared" si="7"/>
        <v>341.7600340909091</v>
      </c>
      <c r="Y55" s="45">
        <v>17</v>
      </c>
      <c r="Z55" s="304"/>
      <c r="AA55" s="309"/>
      <c r="AB55" s="309"/>
    </row>
    <row r="56" spans="1:25" ht="16.5" customHeight="1">
      <c r="A56" s="45">
        <v>21</v>
      </c>
      <c r="B56" s="9"/>
      <c r="C56" s="13" t="s">
        <v>60</v>
      </c>
      <c r="D56" s="13"/>
      <c r="E56" s="9">
        <v>832</v>
      </c>
      <c r="F56" s="10" t="s">
        <v>61</v>
      </c>
      <c r="G56" s="45" t="s">
        <v>21</v>
      </c>
      <c r="H56" s="23">
        <f>H25+15</f>
        <v>340</v>
      </c>
      <c r="I56" s="287">
        <f>(H56+10)*1.015*1.01</f>
        <v>358.80249999999995</v>
      </c>
      <c r="J56" s="23"/>
      <c r="K56" s="288">
        <f>H25+20</f>
        <v>345</v>
      </c>
      <c r="L56" s="287">
        <f>(K56+10)*1.015*1.01</f>
        <v>363.92825</v>
      </c>
      <c r="M56" s="23"/>
      <c r="N56" s="23">
        <f>H25+25</f>
        <v>350</v>
      </c>
      <c r="O56" s="287">
        <f>(N56+10)*1.015*1.01</f>
        <v>369.054</v>
      </c>
      <c r="P56" s="23"/>
      <c r="Q56" s="23">
        <f>K25+25</f>
        <v>350</v>
      </c>
      <c r="R56" s="287">
        <f>(Q56+10)*1.015*1.01</f>
        <v>369.054</v>
      </c>
      <c r="S56" s="23"/>
      <c r="T56" s="23">
        <f>H25+21</f>
        <v>346</v>
      </c>
      <c r="U56" s="287">
        <f>(T56+10)*1.015*1.01</f>
        <v>364.9534</v>
      </c>
      <c r="V56" s="23"/>
      <c r="W56" s="23">
        <f t="shared" si="7"/>
        <v>336</v>
      </c>
      <c r="X56" s="300">
        <f t="shared" si="7"/>
        <v>354.66760454545454</v>
      </c>
      <c r="Y56" s="45">
        <v>17</v>
      </c>
    </row>
    <row r="57" spans="1:25" ht="16.5" customHeight="1">
      <c r="A57" s="45">
        <v>22</v>
      </c>
      <c r="B57" s="9"/>
      <c r="C57" s="13" t="s">
        <v>60</v>
      </c>
      <c r="D57" s="13"/>
      <c r="E57" s="9"/>
      <c r="F57" s="10" t="s">
        <v>62</v>
      </c>
      <c r="G57" s="45" t="s">
        <v>21</v>
      </c>
      <c r="H57" s="23">
        <f>H26+15</f>
        <v>320</v>
      </c>
      <c r="I57" s="287">
        <f>(H57+10)*1.015*1.01</f>
        <v>338.29949999999997</v>
      </c>
      <c r="J57" s="23"/>
      <c r="K57" s="288">
        <f>H26+20</f>
        <v>325</v>
      </c>
      <c r="L57" s="287">
        <f>(K57+10)*1.015*1.01</f>
        <v>343.42525</v>
      </c>
      <c r="M57" s="23"/>
      <c r="N57" s="23">
        <f>H26+25</f>
        <v>330</v>
      </c>
      <c r="O57" s="287">
        <f>(N57+10)*1.015*1.01</f>
        <v>348.551</v>
      </c>
      <c r="P57" s="23"/>
      <c r="Q57" s="23">
        <f>K26+25</f>
        <v>330</v>
      </c>
      <c r="R57" s="287">
        <f>(Q57+10)*1.015*1.01</f>
        <v>348.551</v>
      </c>
      <c r="S57" s="23"/>
      <c r="T57" s="23">
        <f>H26+20</f>
        <v>325</v>
      </c>
      <c r="U57" s="287">
        <f>(T57+10)*1.015*1.01</f>
        <v>343.42525</v>
      </c>
      <c r="V57" s="23"/>
      <c r="W57" s="23">
        <f t="shared" si="7"/>
        <v>315.90909090909093</v>
      </c>
      <c r="X57" s="300">
        <f t="shared" si="7"/>
        <v>334.07140909090907</v>
      </c>
      <c r="Y57" s="45">
        <v>17</v>
      </c>
    </row>
    <row r="58" spans="1:25" ht="16.5" customHeight="1">
      <c r="A58" s="45">
        <v>23</v>
      </c>
      <c r="B58" s="9"/>
      <c r="C58" s="13" t="s">
        <v>63</v>
      </c>
      <c r="D58" s="13"/>
      <c r="E58" s="9">
        <v>833</v>
      </c>
      <c r="F58" s="10" t="s">
        <v>61</v>
      </c>
      <c r="G58" s="45" t="s">
        <v>21</v>
      </c>
      <c r="H58" s="23">
        <f>H27+15</f>
        <v>370</v>
      </c>
      <c r="I58" s="287">
        <f>(H58+10)*1.015*1.01</f>
        <v>389.557</v>
      </c>
      <c r="J58" s="23"/>
      <c r="K58" s="288">
        <f>H27+20</f>
        <v>375</v>
      </c>
      <c r="L58" s="287">
        <f>(K58+10)*1.015*1.01</f>
        <v>394.68275</v>
      </c>
      <c r="M58" s="23"/>
      <c r="N58" s="23">
        <f>H27+25</f>
        <v>380</v>
      </c>
      <c r="O58" s="287">
        <f>(N58+10)*1.015*1.01</f>
        <v>399.8085</v>
      </c>
      <c r="P58" s="23"/>
      <c r="Q58" s="23">
        <f>K27+25</f>
        <v>380</v>
      </c>
      <c r="R58" s="287">
        <f>(Q58+10)*1.015*1.01</f>
        <v>399.8085</v>
      </c>
      <c r="S58" s="23"/>
      <c r="T58" s="23">
        <f>H27+20</f>
        <v>375</v>
      </c>
      <c r="U58" s="287">
        <f>(T58+10)*1.015*1.01</f>
        <v>394.68275</v>
      </c>
      <c r="V58" s="23"/>
      <c r="W58" s="23">
        <f t="shared" si="7"/>
        <v>365.90909090909093</v>
      </c>
      <c r="X58" s="300">
        <f t="shared" si="7"/>
        <v>385.32890909090906</v>
      </c>
      <c r="Y58" s="45">
        <v>17</v>
      </c>
    </row>
    <row r="59" spans="1:25" ht="16.5" customHeight="1">
      <c r="A59" s="45">
        <v>24</v>
      </c>
      <c r="B59" s="9"/>
      <c r="C59" s="13" t="s">
        <v>63</v>
      </c>
      <c r="D59" s="13"/>
      <c r="E59" s="9"/>
      <c r="F59" s="10" t="s">
        <v>62</v>
      </c>
      <c r="G59" s="45" t="s">
        <v>21</v>
      </c>
      <c r="H59" s="23">
        <f>H28+15</f>
        <v>350</v>
      </c>
      <c r="I59" s="287">
        <f>(H59+10)*1.015*1.01</f>
        <v>369.054</v>
      </c>
      <c r="J59" s="23"/>
      <c r="K59" s="288">
        <f>H28+20</f>
        <v>355</v>
      </c>
      <c r="L59" s="287">
        <f>(K59+10)*1.015*1.01</f>
        <v>374.17974999999996</v>
      </c>
      <c r="M59" s="23"/>
      <c r="N59" s="23">
        <f>H28+25</f>
        <v>360</v>
      </c>
      <c r="O59" s="287">
        <f>(N59+10)*1.015*1.01</f>
        <v>379.30549999999994</v>
      </c>
      <c r="P59" s="23"/>
      <c r="Q59" s="23">
        <f>K28+25</f>
        <v>360</v>
      </c>
      <c r="R59" s="287">
        <f>(Q59+10)*1.015*1.01</f>
        <v>379.30549999999994</v>
      </c>
      <c r="S59" s="23"/>
      <c r="T59" s="23">
        <f>H28+20</f>
        <v>355</v>
      </c>
      <c r="U59" s="287">
        <f>(T59+10)*1.015*1.01</f>
        <v>374.17974999999996</v>
      </c>
      <c r="V59" s="23"/>
      <c r="W59" s="23">
        <f t="shared" si="7"/>
        <v>345.90909090909093</v>
      </c>
      <c r="X59" s="300">
        <f t="shared" si="7"/>
        <v>364.8259090909091</v>
      </c>
      <c r="Y59" s="45">
        <v>17</v>
      </c>
    </row>
    <row r="60" spans="1:24" ht="16.5" customHeight="1" hidden="1">
      <c r="A60" s="45">
        <v>25</v>
      </c>
      <c r="B60" s="6" t="s">
        <v>64</v>
      </c>
      <c r="C60" s="15" t="s">
        <v>65</v>
      </c>
      <c r="D60" s="16"/>
      <c r="E60" s="26"/>
      <c r="F60" s="27" t="s">
        <v>66</v>
      </c>
      <c r="G60" s="26" t="s">
        <v>67</v>
      </c>
      <c r="H60" s="28"/>
      <c r="I60" s="23">
        <f>(H60+10)*(1+0.015)*(1+0.01)</f>
        <v>10.251499999999998</v>
      </c>
      <c r="J60" s="112"/>
      <c r="K60" s="28"/>
      <c r="L60" s="38">
        <v>6.37</v>
      </c>
      <c r="M60" s="112"/>
      <c r="N60" s="28"/>
      <c r="O60" s="38">
        <v>6.37</v>
      </c>
      <c r="P60" s="291" t="s">
        <v>165</v>
      </c>
      <c r="Q60" s="28"/>
      <c r="R60" s="23">
        <f>(Q60+10)*(1+0.015)*(1+0.01)</f>
        <v>10.251499999999998</v>
      </c>
      <c r="S60" s="148"/>
      <c r="T60" s="28"/>
      <c r="U60" s="38">
        <v>6.37</v>
      </c>
      <c r="V60" s="123"/>
      <c r="W60" s="171"/>
      <c r="X60" s="171">
        <f t="shared" si="7"/>
        <v>7.075727272727272</v>
      </c>
    </row>
    <row r="61" spans="1:24" ht="16.5" customHeight="1" hidden="1">
      <c r="A61" s="45">
        <v>26</v>
      </c>
      <c r="B61" s="6"/>
      <c r="C61" s="15" t="s">
        <v>65</v>
      </c>
      <c r="D61" s="16"/>
      <c r="E61" s="26">
        <v>862</v>
      </c>
      <c r="F61" s="27" t="s">
        <v>68</v>
      </c>
      <c r="G61" s="26" t="s">
        <v>67</v>
      </c>
      <c r="H61" s="28"/>
      <c r="I61" s="23">
        <f>(H61+10)*(1+0.015)*(1+0.01)</f>
        <v>10.251499999999998</v>
      </c>
      <c r="J61" s="112"/>
      <c r="K61" s="28"/>
      <c r="L61" s="38">
        <v>6.75</v>
      </c>
      <c r="M61" s="112"/>
      <c r="N61" s="28"/>
      <c r="O61" s="38">
        <v>6.75</v>
      </c>
      <c r="P61" s="291"/>
      <c r="Q61" s="28"/>
      <c r="R61" s="23">
        <f>(Q61+10)*(1+0.015)*(1+0.01)</f>
        <v>10.251499999999998</v>
      </c>
      <c r="S61" s="148"/>
      <c r="T61" s="28"/>
      <c r="U61" s="38">
        <v>6.75</v>
      </c>
      <c r="V61" s="123"/>
      <c r="W61" s="171"/>
      <c r="X61" s="171">
        <f t="shared" si="7"/>
        <v>7.386636363636362</v>
      </c>
    </row>
    <row r="62" spans="1:24" ht="16.5" customHeight="1" hidden="1">
      <c r="A62" s="45">
        <v>27</v>
      </c>
      <c r="B62" s="17"/>
      <c r="C62" s="10" t="s">
        <v>69</v>
      </c>
      <c r="D62" s="18"/>
      <c r="E62" s="26">
        <v>863</v>
      </c>
      <c r="F62" s="27" t="s">
        <v>70</v>
      </c>
      <c r="G62" s="148" t="s">
        <v>67</v>
      </c>
      <c r="H62" s="28"/>
      <c r="I62" s="23">
        <f>(H62+10)*(1+0.015)*(1+0.01)</f>
        <v>10.251499999999998</v>
      </c>
      <c r="J62" s="112"/>
      <c r="K62" s="28"/>
      <c r="L62" s="38">
        <v>5.75</v>
      </c>
      <c r="M62" s="112"/>
      <c r="N62" s="28"/>
      <c r="O62" s="38">
        <v>5.75</v>
      </c>
      <c r="P62" s="291" t="s">
        <v>165</v>
      </c>
      <c r="Q62" s="28"/>
      <c r="R62" s="23">
        <f>(Q62+10)*(1+0.015)*(1+0.01)</f>
        <v>10.251499999999998</v>
      </c>
      <c r="S62" s="148"/>
      <c r="T62" s="28"/>
      <c r="U62" s="38">
        <v>5.75</v>
      </c>
      <c r="V62" s="123"/>
      <c r="W62" s="171"/>
      <c r="X62" s="171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78"/>
      <c r="E2" s="104"/>
      <c r="F2" s="245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19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88"/>
      <c r="X3" s="88"/>
      <c r="Y3" s="88"/>
      <c r="Z3" s="88"/>
      <c r="AA3" s="88"/>
    </row>
    <row r="4" spans="1:30" ht="14.25" customHeight="1">
      <c r="A4" s="6" t="s">
        <v>2</v>
      </c>
      <c r="B4" s="6" t="s">
        <v>3</v>
      </c>
      <c r="C4" s="6" t="s">
        <v>4</v>
      </c>
      <c r="D4" s="9"/>
      <c r="E4" s="6" t="s">
        <v>5</v>
      </c>
      <c r="F4" s="247" t="s">
        <v>6</v>
      </c>
      <c r="G4" s="6" t="s">
        <v>7</v>
      </c>
      <c r="H4" s="248" t="s">
        <v>177</v>
      </c>
      <c r="I4" s="248"/>
      <c r="J4" s="248"/>
      <c r="K4" s="43" t="s">
        <v>178</v>
      </c>
      <c r="L4" s="45"/>
      <c r="M4" s="45"/>
      <c r="N4" s="43" t="s">
        <v>179</v>
      </c>
      <c r="O4" s="45"/>
      <c r="P4" s="45"/>
      <c r="Q4" s="43" t="s">
        <v>180</v>
      </c>
      <c r="R4" s="45"/>
      <c r="S4" s="45"/>
      <c r="T4" s="43" t="s">
        <v>181</v>
      </c>
      <c r="U4" s="43"/>
      <c r="V4" s="43"/>
      <c r="W4" s="43" t="s">
        <v>182</v>
      </c>
      <c r="X4" s="45"/>
      <c r="Y4" s="45"/>
      <c r="Z4" s="43" t="s">
        <v>183</v>
      </c>
      <c r="AA4" s="45"/>
      <c r="AB4" s="45"/>
      <c r="AC4" s="43" t="s">
        <v>77</v>
      </c>
      <c r="AD4" s="43" t="s">
        <v>78</v>
      </c>
    </row>
    <row r="5" spans="1:30" ht="30.75" customHeight="1">
      <c r="A5" s="9"/>
      <c r="B5" s="9"/>
      <c r="C5" s="9"/>
      <c r="D5" s="9"/>
      <c r="E5" s="9"/>
      <c r="F5" s="249"/>
      <c r="G5" s="9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5"/>
      <c r="AD5" s="45"/>
    </row>
    <row r="6" spans="1:30" s="104" customFormat="1" ht="23.25" customHeight="1">
      <c r="A6" s="240">
        <v>1</v>
      </c>
      <c r="B6" s="6" t="s">
        <v>16</v>
      </c>
      <c r="C6" s="6" t="s">
        <v>17</v>
      </c>
      <c r="D6" s="241" t="s">
        <v>18</v>
      </c>
      <c r="E6" s="9">
        <v>111</v>
      </c>
      <c r="F6" s="250" t="s">
        <v>184</v>
      </c>
      <c r="G6" s="7" t="s">
        <v>21</v>
      </c>
      <c r="H6" s="213">
        <f>H7*0.8+H8*0.2</f>
        <v>2136.8</v>
      </c>
      <c r="I6" s="213">
        <f>I7*0.8+I8*0.2</f>
        <v>2196.2569999999996</v>
      </c>
      <c r="J6" s="260"/>
      <c r="K6" s="213"/>
      <c r="L6" s="213"/>
      <c r="M6" s="260"/>
      <c r="N6" s="213"/>
      <c r="O6" s="213"/>
      <c r="P6" s="260"/>
      <c r="Q6" s="213"/>
      <c r="R6" s="213"/>
      <c r="S6" s="260"/>
      <c r="T6" s="213"/>
      <c r="U6" s="213"/>
      <c r="V6" s="260"/>
      <c r="W6" s="213"/>
      <c r="X6" s="213"/>
      <c r="Y6" s="260"/>
      <c r="Z6" s="213"/>
      <c r="AA6" s="213"/>
      <c r="AB6" s="260"/>
      <c r="AC6" s="213">
        <f>AVERAGE(H6,K6,N6,Q6,T6,W6,Z6)</f>
        <v>2136.8</v>
      </c>
      <c r="AD6" s="213">
        <f>AVERAGE(I6,L6,O6,R6,U6,X6,AA6)</f>
        <v>2196.2569999999996</v>
      </c>
    </row>
    <row r="7" spans="1:30" ht="15" customHeight="1">
      <c r="A7" s="240">
        <v>2</v>
      </c>
      <c r="B7" s="9"/>
      <c r="C7" s="9"/>
      <c r="D7" s="10" t="s">
        <v>185</v>
      </c>
      <c r="E7" s="9"/>
      <c r="F7" s="251" t="s">
        <v>23</v>
      </c>
      <c r="G7" s="9" t="s">
        <v>21</v>
      </c>
      <c r="H7" s="217">
        <v>2130</v>
      </c>
      <c r="I7" s="196">
        <f>(H7+27)*1.015</f>
        <v>2189.3549999999996</v>
      </c>
      <c r="J7" s="260" t="s">
        <v>89</v>
      </c>
      <c r="K7" s="196"/>
      <c r="L7" s="196"/>
      <c r="M7" s="260"/>
      <c r="N7" s="196"/>
      <c r="O7" s="196"/>
      <c r="P7" s="260"/>
      <c r="Q7" s="196"/>
      <c r="R7" s="196"/>
      <c r="S7" s="260"/>
      <c r="T7" s="196"/>
      <c r="U7" s="196"/>
      <c r="V7" s="260"/>
      <c r="W7" s="196"/>
      <c r="X7" s="196"/>
      <c r="Y7" s="260"/>
      <c r="Z7" s="196"/>
      <c r="AA7" s="196"/>
      <c r="AB7" s="260"/>
      <c r="AC7" s="201">
        <f aca="true" t="shared" si="0" ref="AC7:AD22">AVERAGE(H7,K7,N7,Q7,T7,W7,Z7)</f>
        <v>2130</v>
      </c>
      <c r="AD7" s="201">
        <f t="shared" si="0"/>
        <v>2189.3549999999996</v>
      </c>
    </row>
    <row r="8" spans="1:30" ht="19.5" customHeight="1">
      <c r="A8" s="240">
        <v>3</v>
      </c>
      <c r="B8" s="9"/>
      <c r="C8" s="9"/>
      <c r="D8" s="10" t="s">
        <v>24</v>
      </c>
      <c r="E8" s="9"/>
      <c r="F8" s="251" t="s">
        <v>25</v>
      </c>
      <c r="G8" s="9" t="s">
        <v>21</v>
      </c>
      <c r="H8" s="217">
        <v>2164</v>
      </c>
      <c r="I8" s="196">
        <f>(H8+27)*1.015</f>
        <v>2223.865</v>
      </c>
      <c r="J8" s="260" t="s">
        <v>90</v>
      </c>
      <c r="K8" s="196"/>
      <c r="L8" s="196"/>
      <c r="M8" s="260"/>
      <c r="N8" s="196"/>
      <c r="O8" s="196"/>
      <c r="P8" s="260"/>
      <c r="Q8" s="196"/>
      <c r="R8" s="196"/>
      <c r="S8" s="260"/>
      <c r="T8" s="196"/>
      <c r="U8" s="196"/>
      <c r="V8" s="260"/>
      <c r="W8" s="196"/>
      <c r="X8" s="196"/>
      <c r="Y8" s="260"/>
      <c r="Z8" s="196"/>
      <c r="AA8" s="196"/>
      <c r="AB8" s="260"/>
      <c r="AC8" s="201">
        <f t="shared" si="0"/>
        <v>2164</v>
      </c>
      <c r="AD8" s="201">
        <f t="shared" si="0"/>
        <v>2223.865</v>
      </c>
    </row>
    <row r="9" spans="1:30" s="104" customFormat="1" ht="48.75" customHeight="1">
      <c r="A9" s="240">
        <v>4</v>
      </c>
      <c r="B9" s="9"/>
      <c r="C9" s="6" t="s">
        <v>26</v>
      </c>
      <c r="D9" s="10" t="s">
        <v>27</v>
      </c>
      <c r="E9" s="9">
        <v>112</v>
      </c>
      <c r="F9" s="250" t="s">
        <v>186</v>
      </c>
      <c r="G9" s="7" t="s">
        <v>21</v>
      </c>
      <c r="H9" s="213">
        <f>H10*0.03+H11*0.38+H12*0.27+H13*0.32</f>
        <v>1920.7</v>
      </c>
      <c r="I9" s="213">
        <f>I10*0.03+I11*0.38+I12*0.27+I13*0.32</f>
        <v>1976.9154999999998</v>
      </c>
      <c r="J9" s="260"/>
      <c r="K9" s="213"/>
      <c r="L9" s="213"/>
      <c r="M9" s="260"/>
      <c r="N9" s="213"/>
      <c r="O9" s="213"/>
      <c r="P9" s="260"/>
      <c r="Q9" s="213"/>
      <c r="R9" s="213"/>
      <c r="S9" s="260"/>
      <c r="T9" s="213"/>
      <c r="U9" s="213"/>
      <c r="V9" s="260"/>
      <c r="W9" s="213"/>
      <c r="X9" s="213"/>
      <c r="Y9" s="260"/>
      <c r="Z9" s="213"/>
      <c r="AA9" s="213"/>
      <c r="AB9" s="260"/>
      <c r="AC9" s="213">
        <f t="shared" si="0"/>
        <v>1920.7</v>
      </c>
      <c r="AD9" s="213">
        <f t="shared" si="0"/>
        <v>1976.9154999999998</v>
      </c>
    </row>
    <row r="10" spans="1:30" ht="15" customHeight="1">
      <c r="A10" s="240">
        <v>5</v>
      </c>
      <c r="B10" s="9"/>
      <c r="C10" s="9"/>
      <c r="D10" s="242" t="s">
        <v>29</v>
      </c>
      <c r="E10" s="9"/>
      <c r="F10" s="251" t="s">
        <v>30</v>
      </c>
      <c r="G10" s="9" t="s">
        <v>21</v>
      </c>
      <c r="H10" s="217">
        <v>1940</v>
      </c>
      <c r="I10" s="196">
        <f>(H10+27)*1.015</f>
        <v>1996.5049999999999</v>
      </c>
      <c r="J10" s="260" t="s">
        <v>90</v>
      </c>
      <c r="K10" s="196"/>
      <c r="L10" s="196"/>
      <c r="M10" s="260"/>
      <c r="N10" s="196"/>
      <c r="O10" s="196"/>
      <c r="P10" s="260"/>
      <c r="Q10" s="196"/>
      <c r="R10" s="196"/>
      <c r="S10" s="260"/>
      <c r="T10" s="196"/>
      <c r="U10" s="196"/>
      <c r="V10" s="260"/>
      <c r="W10" s="196"/>
      <c r="X10" s="196"/>
      <c r="Y10" s="260"/>
      <c r="Z10" s="196"/>
      <c r="AA10" s="196"/>
      <c r="AB10" s="260"/>
      <c r="AC10" s="201">
        <f t="shared" si="0"/>
        <v>1940</v>
      </c>
      <c r="AD10" s="201">
        <f t="shared" si="0"/>
        <v>1996.5049999999999</v>
      </c>
    </row>
    <row r="11" spans="1:30" ht="15" customHeight="1">
      <c r="A11" s="240">
        <v>6</v>
      </c>
      <c r="B11" s="9"/>
      <c r="C11" s="9"/>
      <c r="D11" s="242" t="s">
        <v>29</v>
      </c>
      <c r="E11" s="9"/>
      <c r="F11" s="251" t="s">
        <v>31</v>
      </c>
      <c r="G11" s="9" t="s">
        <v>21</v>
      </c>
      <c r="H11" s="217">
        <v>1930</v>
      </c>
      <c r="I11" s="196">
        <f>(H11+27)*1.015</f>
        <v>1986.3549999999998</v>
      </c>
      <c r="J11" s="260" t="s">
        <v>90</v>
      </c>
      <c r="K11" s="196"/>
      <c r="L11" s="196"/>
      <c r="M11" s="260"/>
      <c r="N11" s="196"/>
      <c r="O11" s="196"/>
      <c r="P11" s="260"/>
      <c r="Q11" s="196"/>
      <c r="R11" s="196"/>
      <c r="S11" s="260"/>
      <c r="T11" s="196"/>
      <c r="U11" s="196"/>
      <c r="V11" s="260"/>
      <c r="W11" s="196"/>
      <c r="X11" s="196"/>
      <c r="Y11" s="260"/>
      <c r="Z11" s="196"/>
      <c r="AA11" s="196"/>
      <c r="AB11" s="260"/>
      <c r="AC11" s="201">
        <f t="shared" si="0"/>
        <v>1930</v>
      </c>
      <c r="AD11" s="201">
        <f t="shared" si="0"/>
        <v>1986.3549999999998</v>
      </c>
    </row>
    <row r="12" spans="1:30" ht="15" customHeight="1">
      <c r="A12" s="240">
        <v>7</v>
      </c>
      <c r="B12" s="9"/>
      <c r="C12" s="9"/>
      <c r="D12" s="242" t="s">
        <v>29</v>
      </c>
      <c r="E12" s="9"/>
      <c r="F12" s="251" t="s">
        <v>32</v>
      </c>
      <c r="G12" s="9" t="s">
        <v>21</v>
      </c>
      <c r="H12" s="217">
        <v>1930</v>
      </c>
      <c r="I12" s="196">
        <f>(H12+27)*1.015</f>
        <v>1986.3549999999998</v>
      </c>
      <c r="J12" s="260" t="s">
        <v>90</v>
      </c>
      <c r="K12" s="196"/>
      <c r="L12" s="196"/>
      <c r="M12" s="260"/>
      <c r="N12" s="196"/>
      <c r="O12" s="196"/>
      <c r="P12" s="260"/>
      <c r="Q12" s="196"/>
      <c r="R12" s="196"/>
      <c r="S12" s="260"/>
      <c r="T12" s="196"/>
      <c r="U12" s="196"/>
      <c r="V12" s="260"/>
      <c r="W12" s="196"/>
      <c r="X12" s="196"/>
      <c r="Y12" s="260"/>
      <c r="Z12" s="196"/>
      <c r="AA12" s="196"/>
      <c r="AB12" s="260"/>
      <c r="AC12" s="201">
        <f t="shared" si="0"/>
        <v>1930</v>
      </c>
      <c r="AD12" s="201">
        <f t="shared" si="0"/>
        <v>1986.3549999999998</v>
      </c>
    </row>
    <row r="13" spans="1:30" ht="18.75" customHeight="1">
      <c r="A13" s="240">
        <v>8</v>
      </c>
      <c r="B13" s="9"/>
      <c r="C13" s="9"/>
      <c r="D13" s="242" t="s">
        <v>29</v>
      </c>
      <c r="E13" s="9"/>
      <c r="F13" s="251" t="s">
        <v>33</v>
      </c>
      <c r="G13" s="9" t="s">
        <v>21</v>
      </c>
      <c r="H13" s="217">
        <v>1900</v>
      </c>
      <c r="I13" s="196">
        <f>(H13+27)*1.015</f>
        <v>1955.9049999999997</v>
      </c>
      <c r="J13" s="260" t="s">
        <v>90</v>
      </c>
      <c r="K13" s="196"/>
      <c r="L13" s="196"/>
      <c r="M13" s="260"/>
      <c r="N13" s="196"/>
      <c r="O13" s="196"/>
      <c r="P13" s="260"/>
      <c r="Q13" s="196"/>
      <c r="R13" s="196"/>
      <c r="S13" s="260"/>
      <c r="T13" s="196"/>
      <c r="U13" s="196"/>
      <c r="V13" s="260"/>
      <c r="W13" s="196"/>
      <c r="X13" s="196"/>
      <c r="Y13" s="260"/>
      <c r="Z13" s="196"/>
      <c r="AA13" s="196"/>
      <c r="AB13" s="260"/>
      <c r="AC13" s="201">
        <f t="shared" si="0"/>
        <v>1900</v>
      </c>
      <c r="AD13" s="201">
        <f t="shared" si="0"/>
        <v>1955.9049999999997</v>
      </c>
    </row>
    <row r="14" spans="1:30" s="104" customFormat="1" ht="25.5">
      <c r="A14" s="240">
        <v>9</v>
      </c>
      <c r="B14" s="9"/>
      <c r="C14" s="6" t="s">
        <v>34</v>
      </c>
      <c r="D14" s="10" t="s">
        <v>35</v>
      </c>
      <c r="E14" s="9">
        <v>182</v>
      </c>
      <c r="F14" s="250" t="s">
        <v>187</v>
      </c>
      <c r="G14" s="7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13">
        <f t="shared" si="0"/>
        <v>2246.3</v>
      </c>
      <c r="AD14" s="213">
        <f t="shared" si="0"/>
        <v>2307.3995</v>
      </c>
    </row>
    <row r="15" spans="1:30" ht="13.5" customHeight="1">
      <c r="A15" s="240">
        <v>10</v>
      </c>
      <c r="B15" s="9"/>
      <c r="C15" s="9"/>
      <c r="D15" s="10" t="s">
        <v>37</v>
      </c>
      <c r="E15" s="9"/>
      <c r="F15" s="252" t="s">
        <v>38</v>
      </c>
      <c r="G15" s="9" t="s">
        <v>21</v>
      </c>
      <c r="H15" s="217">
        <v>2200</v>
      </c>
      <c r="I15" s="196">
        <f>(H15+27)*1.015</f>
        <v>2260.4049999999997</v>
      </c>
      <c r="J15" s="260" t="s">
        <v>158</v>
      </c>
      <c r="K15" s="196"/>
      <c r="L15" s="196"/>
      <c r="M15" s="260"/>
      <c r="N15" s="196"/>
      <c r="O15" s="196"/>
      <c r="P15" s="260"/>
      <c r="Q15" s="196"/>
      <c r="R15" s="196"/>
      <c r="S15" s="260"/>
      <c r="T15" s="196"/>
      <c r="U15" s="196"/>
      <c r="V15" s="260"/>
      <c r="W15" s="264"/>
      <c r="X15" s="196"/>
      <c r="Y15" s="260"/>
      <c r="Z15" s="196"/>
      <c r="AA15" s="196"/>
      <c r="AB15" s="260"/>
      <c r="AC15" s="201">
        <f t="shared" si="0"/>
        <v>2200</v>
      </c>
      <c r="AD15" s="201">
        <f t="shared" si="0"/>
        <v>2260.4049999999997</v>
      </c>
    </row>
    <row r="16" spans="1:30" ht="13.5" customHeight="1">
      <c r="A16" s="240">
        <v>11</v>
      </c>
      <c r="B16" s="9"/>
      <c r="C16" s="9"/>
      <c r="D16" s="10" t="s">
        <v>39</v>
      </c>
      <c r="E16" s="9"/>
      <c r="F16" s="252" t="s">
        <v>40</v>
      </c>
      <c r="G16" s="9" t="s">
        <v>21</v>
      </c>
      <c r="H16" s="217">
        <v>2270</v>
      </c>
      <c r="I16" s="196">
        <f>(H16+27)*1.015</f>
        <v>2331.455</v>
      </c>
      <c r="J16" s="260" t="s">
        <v>91</v>
      </c>
      <c r="K16" s="196"/>
      <c r="L16" s="196"/>
      <c r="M16" s="260"/>
      <c r="N16" s="196"/>
      <c r="O16" s="196"/>
      <c r="P16" s="260"/>
      <c r="Q16" s="196"/>
      <c r="R16" s="196"/>
      <c r="S16" s="260"/>
      <c r="T16" s="196"/>
      <c r="U16" s="196"/>
      <c r="V16" s="260"/>
      <c r="W16" s="264"/>
      <c r="X16" s="196"/>
      <c r="Y16" s="260"/>
      <c r="Z16" s="196"/>
      <c r="AA16" s="196"/>
      <c r="AB16" s="260"/>
      <c r="AC16" s="201">
        <f t="shared" si="0"/>
        <v>2270</v>
      </c>
      <c r="AD16" s="201">
        <f t="shared" si="0"/>
        <v>2331.455</v>
      </c>
    </row>
    <row r="17" spans="1:30" ht="13.5" customHeight="1">
      <c r="A17" s="240">
        <v>12</v>
      </c>
      <c r="B17" s="9"/>
      <c r="C17" s="9"/>
      <c r="D17" s="10" t="s">
        <v>41</v>
      </c>
      <c r="E17" s="9"/>
      <c r="F17" s="252" t="s">
        <v>42</v>
      </c>
      <c r="G17" s="9" t="s">
        <v>21</v>
      </c>
      <c r="H17" s="217">
        <v>2190</v>
      </c>
      <c r="I17" s="196">
        <f>(H17+27)*1.015</f>
        <v>2250.2549999999997</v>
      </c>
      <c r="J17" s="260" t="s">
        <v>91</v>
      </c>
      <c r="K17" s="196"/>
      <c r="L17" s="196"/>
      <c r="M17" s="260"/>
      <c r="N17" s="196"/>
      <c r="O17" s="196"/>
      <c r="P17" s="260"/>
      <c r="Q17" s="196"/>
      <c r="R17" s="196"/>
      <c r="S17" s="260"/>
      <c r="T17" s="196"/>
      <c r="U17" s="196"/>
      <c r="V17" s="260"/>
      <c r="W17" s="264"/>
      <c r="X17" s="196"/>
      <c r="Y17" s="260"/>
      <c r="Z17" s="196"/>
      <c r="AA17" s="196"/>
      <c r="AB17" s="260"/>
      <c r="AC17" s="201">
        <f t="shared" si="0"/>
        <v>2190</v>
      </c>
      <c r="AD17" s="201">
        <f t="shared" si="0"/>
        <v>2250.2549999999997</v>
      </c>
    </row>
    <row r="18" spans="1:30" ht="13.5" customHeight="1">
      <c r="A18" s="240">
        <v>13</v>
      </c>
      <c r="B18" s="9"/>
      <c r="C18" s="6" t="s">
        <v>188</v>
      </c>
      <c r="D18" s="9"/>
      <c r="E18" s="9">
        <v>183</v>
      </c>
      <c r="F18" s="252" t="s">
        <v>44</v>
      </c>
      <c r="G18" s="9" t="s">
        <v>21</v>
      </c>
      <c r="H18" s="253">
        <v>2077</v>
      </c>
      <c r="I18" s="196">
        <f>(H18+27)*1.015</f>
        <v>2135.56</v>
      </c>
      <c r="J18" s="260" t="s">
        <v>91</v>
      </c>
      <c r="K18" s="196"/>
      <c r="L18" s="196"/>
      <c r="M18" s="260"/>
      <c r="N18" s="196"/>
      <c r="O18" s="196"/>
      <c r="P18" s="260"/>
      <c r="Q18" s="196"/>
      <c r="R18" s="196"/>
      <c r="S18" s="260"/>
      <c r="T18" s="196"/>
      <c r="U18" s="196"/>
      <c r="V18" s="260"/>
      <c r="W18" s="264"/>
      <c r="X18" s="196"/>
      <c r="Y18" s="260"/>
      <c r="Z18" s="196"/>
      <c r="AA18" s="196"/>
      <c r="AB18" s="260"/>
      <c r="AC18" s="201">
        <f t="shared" si="0"/>
        <v>2077</v>
      </c>
      <c r="AD18" s="201">
        <f t="shared" si="0"/>
        <v>2135.56</v>
      </c>
    </row>
    <row r="19" spans="1:30" s="104" customFormat="1" ht="22.5" customHeight="1">
      <c r="A19" s="240">
        <v>14</v>
      </c>
      <c r="B19" s="9"/>
      <c r="C19" s="6" t="s">
        <v>45</v>
      </c>
      <c r="D19" s="10" t="s">
        <v>46</v>
      </c>
      <c r="E19" s="9">
        <v>191</v>
      </c>
      <c r="F19" s="250" t="s">
        <v>189</v>
      </c>
      <c r="G19" s="7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7"/>
      <c r="X19" s="195"/>
      <c r="Y19" s="268"/>
      <c r="Z19" s="195"/>
      <c r="AA19" s="195"/>
      <c r="AB19" s="268"/>
      <c r="AC19" s="213">
        <f t="shared" si="0"/>
        <v>2379.6</v>
      </c>
      <c r="AD19" s="213">
        <f t="shared" si="0"/>
        <v>2442.6989999999996</v>
      </c>
    </row>
    <row r="20" spans="1:30" ht="15" customHeight="1">
      <c r="A20" s="240">
        <v>15</v>
      </c>
      <c r="B20" s="9"/>
      <c r="C20" s="9"/>
      <c r="D20" s="10" t="s">
        <v>48</v>
      </c>
      <c r="E20" s="9"/>
      <c r="F20" s="251" t="s">
        <v>190</v>
      </c>
      <c r="G20" s="9" t="s">
        <v>21</v>
      </c>
      <c r="H20" s="254">
        <v>2192</v>
      </c>
      <c r="I20" s="196">
        <f>(H20+27)*1.015</f>
        <v>2252.285</v>
      </c>
      <c r="J20" s="260" t="s">
        <v>161</v>
      </c>
      <c r="K20" s="196"/>
      <c r="L20" s="196"/>
      <c r="M20" s="260"/>
      <c r="N20" s="264"/>
      <c r="O20" s="196"/>
      <c r="P20" s="260"/>
      <c r="Q20" s="196"/>
      <c r="R20" s="196"/>
      <c r="S20" s="260"/>
      <c r="T20" s="196"/>
      <c r="U20" s="196"/>
      <c r="V20" s="260"/>
      <c r="W20" s="264"/>
      <c r="X20" s="196"/>
      <c r="Y20" s="260"/>
      <c r="Z20" s="196"/>
      <c r="AA20" s="196"/>
      <c r="AB20" s="260"/>
      <c r="AC20" s="201">
        <f t="shared" si="0"/>
        <v>2192</v>
      </c>
      <c r="AD20" s="201">
        <f t="shared" si="0"/>
        <v>2252.285</v>
      </c>
    </row>
    <row r="21" spans="1:30" ht="15" customHeight="1">
      <c r="A21" s="240">
        <v>16</v>
      </c>
      <c r="B21" s="9"/>
      <c r="C21" s="9"/>
      <c r="D21" s="10" t="s">
        <v>50</v>
      </c>
      <c r="E21" s="9"/>
      <c r="F21" s="251" t="s">
        <v>191</v>
      </c>
      <c r="G21" s="9" t="s">
        <v>21</v>
      </c>
      <c r="H21" s="217">
        <v>2682</v>
      </c>
      <c r="I21" s="196">
        <f>(H21+27)*1.015</f>
        <v>2749.6349999999998</v>
      </c>
      <c r="J21" s="260" t="s">
        <v>192</v>
      </c>
      <c r="K21" s="217"/>
      <c r="L21" s="196"/>
      <c r="M21" s="260"/>
      <c r="N21" s="265"/>
      <c r="O21" s="196"/>
      <c r="P21" s="260"/>
      <c r="Q21" s="217"/>
      <c r="R21" s="196"/>
      <c r="S21" s="260"/>
      <c r="T21" s="217"/>
      <c r="U21" s="196"/>
      <c r="V21" s="260"/>
      <c r="W21" s="265"/>
      <c r="X21" s="196"/>
      <c r="Y21" s="260"/>
      <c r="Z21" s="217"/>
      <c r="AA21" s="196"/>
      <c r="AB21" s="260"/>
      <c r="AC21" s="201">
        <f t="shared" si="0"/>
        <v>2682</v>
      </c>
      <c r="AD21" s="201">
        <f t="shared" si="0"/>
        <v>2749.6349999999998</v>
      </c>
    </row>
    <row r="22" spans="1:30" ht="15" customHeight="1">
      <c r="A22" s="240">
        <v>17</v>
      </c>
      <c r="B22" s="9"/>
      <c r="C22" s="9"/>
      <c r="D22" s="10" t="s">
        <v>52</v>
      </c>
      <c r="E22" s="9"/>
      <c r="F22" s="251" t="s">
        <v>53</v>
      </c>
      <c r="G22" s="9" t="s">
        <v>21</v>
      </c>
      <c r="H22" s="254">
        <v>2640</v>
      </c>
      <c r="I22" s="196">
        <f>(H22+27)*1.015</f>
        <v>2707.0049999999997</v>
      </c>
      <c r="J22" s="260" t="s">
        <v>134</v>
      </c>
      <c r="K22" s="196"/>
      <c r="L22" s="196"/>
      <c r="M22" s="260"/>
      <c r="N22" s="264"/>
      <c r="O22" s="196"/>
      <c r="P22" s="260"/>
      <c r="Q22" s="196"/>
      <c r="R22" s="196"/>
      <c r="S22" s="260"/>
      <c r="T22" s="196"/>
      <c r="U22" s="196"/>
      <c r="V22" s="260"/>
      <c r="W22" s="264"/>
      <c r="X22" s="196"/>
      <c r="Y22" s="260"/>
      <c r="Z22" s="196"/>
      <c r="AA22" s="196"/>
      <c r="AB22" s="260"/>
      <c r="AC22" s="201">
        <f t="shared" si="0"/>
        <v>2640</v>
      </c>
      <c r="AD22" s="201">
        <f t="shared" si="0"/>
        <v>2707.0049999999997</v>
      </c>
    </row>
    <row r="23" spans="1:30" ht="15" customHeight="1">
      <c r="A23" s="240">
        <v>18</v>
      </c>
      <c r="B23" s="9"/>
      <c r="C23" s="10" t="s">
        <v>54</v>
      </c>
      <c r="D23" s="13"/>
      <c r="E23" s="9">
        <v>121</v>
      </c>
      <c r="F23" s="252"/>
      <c r="G23" s="9" t="s">
        <v>21</v>
      </c>
      <c r="H23" s="114">
        <v>3500</v>
      </c>
      <c r="I23" s="196">
        <f>(H23+27)*1.015</f>
        <v>3579.9049999999997</v>
      </c>
      <c r="J23" s="260" t="s">
        <v>193</v>
      </c>
      <c r="K23" s="196"/>
      <c r="L23" s="196"/>
      <c r="M23" s="260"/>
      <c r="N23" s="264"/>
      <c r="O23" s="196"/>
      <c r="P23" s="260"/>
      <c r="Q23" s="196"/>
      <c r="R23" s="196"/>
      <c r="S23" s="260"/>
      <c r="T23" s="196"/>
      <c r="U23" s="196"/>
      <c r="V23" s="260"/>
      <c r="W23" s="264"/>
      <c r="X23" s="196"/>
      <c r="Y23" s="260"/>
      <c r="Z23" s="196"/>
      <c r="AA23" s="196"/>
      <c r="AB23" s="260"/>
      <c r="AC23" s="201">
        <f aca="true" t="shared" si="1" ref="AC23:AD29">AVERAGE(H23,K23,N23,Q23,T23,W23,Z23)</f>
        <v>3500</v>
      </c>
      <c r="AD23" s="201">
        <f t="shared" si="1"/>
        <v>3579.9049999999997</v>
      </c>
    </row>
    <row r="24" spans="1:30" ht="15" customHeight="1">
      <c r="A24" s="240">
        <v>19</v>
      </c>
      <c r="B24" s="9"/>
      <c r="C24" s="10" t="s">
        <v>55</v>
      </c>
      <c r="D24" s="13"/>
      <c r="E24" s="9">
        <v>125</v>
      </c>
      <c r="F24" s="251" t="s">
        <v>194</v>
      </c>
      <c r="G24" s="9" t="s">
        <v>21</v>
      </c>
      <c r="H24" s="114">
        <v>3000</v>
      </c>
      <c r="I24" s="196">
        <f>(H24+27)*1.015</f>
        <v>3072.4049999999997</v>
      </c>
      <c r="J24" s="260" t="s">
        <v>195</v>
      </c>
      <c r="K24" s="196"/>
      <c r="L24" s="196"/>
      <c r="M24" s="260"/>
      <c r="N24" s="196"/>
      <c r="O24" s="196"/>
      <c r="P24" s="260"/>
      <c r="Q24" s="196"/>
      <c r="R24" s="196"/>
      <c r="S24" s="260"/>
      <c r="T24" s="196"/>
      <c r="U24" s="196"/>
      <c r="V24" s="260"/>
      <c r="W24" s="196"/>
      <c r="X24" s="196"/>
      <c r="Y24" s="260"/>
      <c r="Z24" s="196"/>
      <c r="AA24" s="196"/>
      <c r="AB24" s="260"/>
      <c r="AC24" s="201">
        <f t="shared" si="1"/>
        <v>3000</v>
      </c>
      <c r="AD24" s="201">
        <f t="shared" si="1"/>
        <v>3072.4049999999997</v>
      </c>
    </row>
    <row r="25" spans="1:30" s="104" customFormat="1" ht="22.5" customHeight="1">
      <c r="A25" s="240">
        <v>20</v>
      </c>
      <c r="B25" s="6" t="s">
        <v>57</v>
      </c>
      <c r="C25" s="10" t="s">
        <v>196</v>
      </c>
      <c r="D25" s="13"/>
      <c r="E25" s="255"/>
      <c r="F25" s="250" t="s">
        <v>197</v>
      </c>
      <c r="G25" s="7" t="s">
        <v>21</v>
      </c>
      <c r="H25" s="36">
        <f>H27*0.75+H29*0.25</f>
        <v>235.17857142857144</v>
      </c>
      <c r="I25" s="36">
        <f>I27*0.75+I29*0.25</f>
        <v>288.39666249999993</v>
      </c>
      <c r="J25" s="260"/>
      <c r="K25" s="36"/>
      <c r="L25" s="36"/>
      <c r="M25" s="260"/>
      <c r="N25" s="36"/>
      <c r="O25" s="36"/>
      <c r="P25" s="260"/>
      <c r="Q25" s="36"/>
      <c r="R25" s="36"/>
      <c r="S25" s="260"/>
      <c r="T25" s="36"/>
      <c r="U25" s="36"/>
      <c r="V25" s="260"/>
      <c r="W25" s="36"/>
      <c r="X25" s="36"/>
      <c r="Y25" s="260"/>
      <c r="Z25" s="36"/>
      <c r="AA25" s="36"/>
      <c r="AB25" s="260"/>
      <c r="AC25" s="213">
        <f t="shared" si="1"/>
        <v>235.17857142857144</v>
      </c>
      <c r="AD25" s="213">
        <f t="shared" si="1"/>
        <v>288.39666249999993</v>
      </c>
    </row>
    <row r="26" spans="1:30" ht="17.25" customHeight="1">
      <c r="A26" s="240">
        <v>21</v>
      </c>
      <c r="B26" s="9"/>
      <c r="C26" s="13" t="s">
        <v>198</v>
      </c>
      <c r="D26" s="13"/>
      <c r="E26" s="9">
        <v>832</v>
      </c>
      <c r="F26" s="251" t="s">
        <v>61</v>
      </c>
      <c r="G26" s="9" t="s">
        <v>21</v>
      </c>
      <c r="H26" s="256">
        <v>265.7142857142857</v>
      </c>
      <c r="I26" s="256">
        <v>300.80830000000003</v>
      </c>
      <c r="J26" s="262" t="s">
        <v>11</v>
      </c>
      <c r="K26" s="256"/>
      <c r="L26" s="256"/>
      <c r="M26" s="262"/>
      <c r="N26" s="256"/>
      <c r="O26" s="256"/>
      <c r="P26" s="262"/>
      <c r="Q26" s="256"/>
      <c r="R26" s="256"/>
      <c r="S26" s="262"/>
      <c r="T26" s="266"/>
      <c r="U26" s="256"/>
      <c r="V26" s="262"/>
      <c r="W26" s="256"/>
      <c r="X26" s="256"/>
      <c r="Y26" s="262"/>
      <c r="Z26" s="256"/>
      <c r="AA26" s="256"/>
      <c r="AB26" s="262"/>
      <c r="AC26" s="271">
        <f t="shared" si="1"/>
        <v>265.7142857142857</v>
      </c>
      <c r="AD26" s="201">
        <f t="shared" si="1"/>
        <v>300.80830000000003</v>
      </c>
    </row>
    <row r="27" spans="1:30" ht="15" customHeight="1">
      <c r="A27" s="240">
        <v>22</v>
      </c>
      <c r="B27" s="9"/>
      <c r="C27" s="13" t="s">
        <v>198</v>
      </c>
      <c r="D27" s="13"/>
      <c r="E27" s="9"/>
      <c r="F27" s="251" t="s">
        <v>62</v>
      </c>
      <c r="G27" s="9" t="s">
        <v>21</v>
      </c>
      <c r="H27" s="256">
        <v>232.14285714285714</v>
      </c>
      <c r="I27" s="256">
        <v>280.89109999999994</v>
      </c>
      <c r="J27" s="262" t="s">
        <v>11</v>
      </c>
      <c r="K27" s="256"/>
      <c r="L27" s="256"/>
      <c r="M27" s="262"/>
      <c r="N27" s="256"/>
      <c r="O27" s="256"/>
      <c r="P27" s="262"/>
      <c r="Q27" s="256"/>
      <c r="R27" s="256"/>
      <c r="S27" s="262"/>
      <c r="T27" s="266"/>
      <c r="U27" s="256"/>
      <c r="V27" s="262"/>
      <c r="W27" s="256"/>
      <c r="X27" s="256"/>
      <c r="Y27" s="262"/>
      <c r="Z27" s="256"/>
      <c r="AA27" s="256"/>
      <c r="AB27" s="262"/>
      <c r="AC27" s="271">
        <f t="shared" si="1"/>
        <v>232.14285714285714</v>
      </c>
      <c r="AD27" s="201">
        <f t="shared" si="1"/>
        <v>280.89109999999994</v>
      </c>
    </row>
    <row r="28" spans="1:30" ht="15" customHeight="1">
      <c r="A28" s="240">
        <v>23</v>
      </c>
      <c r="B28" s="9"/>
      <c r="C28" s="13" t="s">
        <v>199</v>
      </c>
      <c r="D28" s="13"/>
      <c r="E28" s="9">
        <v>833</v>
      </c>
      <c r="F28" s="251" t="s">
        <v>61</v>
      </c>
      <c r="G28" s="9" t="s">
        <v>21</v>
      </c>
      <c r="H28" s="256">
        <v>289.2857142857143</v>
      </c>
      <c r="I28" s="256">
        <v>342.54655</v>
      </c>
      <c r="J28" s="262" t="s">
        <v>11</v>
      </c>
      <c r="K28" s="256"/>
      <c r="L28" s="256"/>
      <c r="M28" s="262"/>
      <c r="N28" s="256"/>
      <c r="O28" s="256"/>
      <c r="P28" s="262"/>
      <c r="Q28" s="256"/>
      <c r="R28" s="256"/>
      <c r="S28" s="262"/>
      <c r="T28" s="266"/>
      <c r="U28" s="256"/>
      <c r="V28" s="262"/>
      <c r="W28" s="256"/>
      <c r="X28" s="256"/>
      <c r="Y28" s="262"/>
      <c r="Z28" s="256"/>
      <c r="AA28" s="256"/>
      <c r="AB28" s="262"/>
      <c r="AC28" s="271">
        <f t="shared" si="1"/>
        <v>289.2857142857143</v>
      </c>
      <c r="AD28" s="201">
        <f t="shared" si="1"/>
        <v>342.54655</v>
      </c>
    </row>
    <row r="29" spans="1:30" ht="15" customHeight="1">
      <c r="A29" s="240">
        <v>24</v>
      </c>
      <c r="B29" s="9"/>
      <c r="C29" s="13" t="s">
        <v>199</v>
      </c>
      <c r="D29" s="13"/>
      <c r="E29" s="9"/>
      <c r="F29" s="251" t="s">
        <v>62</v>
      </c>
      <c r="G29" s="9" t="s">
        <v>21</v>
      </c>
      <c r="H29" s="256">
        <v>244.28571428571428</v>
      </c>
      <c r="I29" s="256">
        <v>310.9133499999999</v>
      </c>
      <c r="J29" s="262" t="s">
        <v>11</v>
      </c>
      <c r="K29" s="256"/>
      <c r="L29" s="256"/>
      <c r="M29" s="262"/>
      <c r="N29" s="256"/>
      <c r="O29" s="256"/>
      <c r="P29" s="262"/>
      <c r="Q29" s="256"/>
      <c r="R29" s="256"/>
      <c r="S29" s="262"/>
      <c r="T29" s="266"/>
      <c r="U29" s="256"/>
      <c r="V29" s="262"/>
      <c r="W29" s="256"/>
      <c r="X29" s="256"/>
      <c r="Y29" s="262"/>
      <c r="Z29" s="256"/>
      <c r="AA29" s="256"/>
      <c r="AB29" s="262"/>
      <c r="AC29" s="271">
        <f t="shared" si="1"/>
        <v>244.28571428571428</v>
      </c>
      <c r="AD29" s="201">
        <f t="shared" si="1"/>
        <v>310.9133499999999</v>
      </c>
    </row>
    <row r="30" spans="1:30" s="189" customFormat="1" ht="19.5" customHeight="1" hidden="1">
      <c r="A30" s="9">
        <v>27</v>
      </c>
      <c r="B30" s="49"/>
      <c r="C30" s="243" t="s">
        <v>69</v>
      </c>
      <c r="D30" s="244"/>
      <c r="E30" s="26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3" t="s">
        <v>200</v>
      </c>
      <c r="K30" s="259">
        <v>5.78</v>
      </c>
      <c r="L30" s="259">
        <v>5.78</v>
      </c>
      <c r="M30" s="263" t="s">
        <v>200</v>
      </c>
      <c r="N30" s="259">
        <v>5.78</v>
      </c>
      <c r="O30" s="259">
        <v>5.78</v>
      </c>
      <c r="P30" s="263" t="s">
        <v>200</v>
      </c>
      <c r="Q30" s="259">
        <v>5.78</v>
      </c>
      <c r="R30" s="259">
        <v>5.78</v>
      </c>
      <c r="S30" s="263" t="s">
        <v>200</v>
      </c>
      <c r="T30" s="259">
        <v>5.78</v>
      </c>
      <c r="U30" s="259">
        <v>5.78</v>
      </c>
      <c r="V30" s="263" t="s">
        <v>200</v>
      </c>
      <c r="W30" s="259">
        <v>5.78</v>
      </c>
      <c r="X30" s="259">
        <v>5.78</v>
      </c>
      <c r="Y30" s="263" t="s">
        <v>200</v>
      </c>
      <c r="Z30" s="259">
        <v>5.78</v>
      </c>
      <c r="AA30" s="259">
        <v>5.78</v>
      </c>
      <c r="AB30" s="263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greatwall</cp:lastModifiedBy>
  <cp:lastPrinted>2020-11-14T00:26:34Z</cp:lastPrinted>
  <dcterms:created xsi:type="dcterms:W3CDTF">2005-10-15T16:06:21Z</dcterms:created>
  <dcterms:modified xsi:type="dcterms:W3CDTF">2023-04-27T16:19:02Z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